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bormann\AppData\Local\Microsoft\Windows\INetCache\Content.Outlook\2UCUYS02\"/>
    </mc:Choice>
  </mc:AlternateContent>
  <xr:revisionPtr revIDLastSave="0" documentId="13_ncr:1_{B8518DC1-416C-4BED-9456-8E375525D817}" xr6:coauthVersionLast="41" xr6:coauthVersionMax="41" xr10:uidLastSave="{00000000-0000-0000-0000-000000000000}"/>
  <bookViews>
    <workbookView xWindow="-108" yWindow="-108" windowWidth="30936" windowHeight="16896" xr2:uid="{00000000-000D-0000-FFFF-FFFF00000000}"/>
  </bookViews>
  <sheets>
    <sheet name="COI" sheetId="16" r:id="rId1"/>
    <sheet name="C-05 2019A" sheetId="8" state="hidden" r:id="rId2"/>
    <sheet name="2019A" sheetId="9" r:id="rId3"/>
    <sheet name="C-31 1of3" sheetId="12" state="hidden" r:id="rId4"/>
    <sheet name="C-31 2of3" sheetId="13" state="hidden" r:id="rId5"/>
    <sheet name="C-31 3of3" sheetId="14" state="hidden" r:id="rId6"/>
    <sheet name="Total Debt" sheetId="3" r:id="rId7"/>
    <sheet name="Prior" sheetId="4" r:id="rId8"/>
    <sheet name="Series Detail" sheetId="1" r:id="rId9"/>
    <sheet name="Refunded Prior" sheetId="11" r:id="rId10"/>
    <sheet name="FY2020" sheetId="15" r:id="rId11"/>
  </sheets>
  <definedNames>
    <definedName name="_xlnm.Print_Area" localSheetId="2">'2019A'!$A$1:$M$56</definedName>
    <definedName name="_xlnm.Print_Area" localSheetId="4">'C-31 2of3'!$A$1:$L$52</definedName>
    <definedName name="_xlnm.Print_Area" localSheetId="5">'C-31 3of3'!$A$1:$L$55</definedName>
    <definedName name="_xlnm.Print_Area" localSheetId="7">Prior!$A$1:$M$96</definedName>
    <definedName name="_xlnm.Print_Area" localSheetId="8">'Series Detail'!$A$1:$ET$98</definedName>
    <definedName name="_xlnm.Print_Area" localSheetId="6">'Total Debt'!$A$1:$M$96</definedName>
    <definedName name="_xlnm.Print_Titles" localSheetId="2">'2019A'!$1:$9</definedName>
    <definedName name="_xlnm.Print_Titles" localSheetId="7">Prior!$1:$9</definedName>
    <definedName name="_xlnm.Print_Titles" localSheetId="6">'Total Debt'!$1:$9</definedName>
    <definedName name="ProjectName" localSheetId="6">{"Client Name or Project Name"}</definedName>
    <definedName name="ProjectName">{"Client Name or Project Name"}</definedName>
    <definedName name="SeriesTotalEPB_DS">'Series Detail'!$H:$M</definedName>
    <definedName name="TotalEPB_DS">'Total Debt'!$A:$M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86" i="15" l="1"/>
  <c r="C3" i="4" l="1"/>
  <c r="C1" i="4"/>
  <c r="C10" i="3"/>
  <c r="E10" i="3"/>
  <c r="G10" i="3"/>
  <c r="C1" i="3"/>
  <c r="A1" i="9"/>
  <c r="A43" i="16" l="1"/>
  <c r="A56" i="9" s="1"/>
  <c r="C31" i="16"/>
  <c r="D29" i="16"/>
  <c r="L28" i="16"/>
  <c r="J28" i="16"/>
  <c r="D28" i="16"/>
  <c r="D27" i="16"/>
  <c r="L27" i="16"/>
  <c r="L26" i="16"/>
  <c r="D26" i="16"/>
  <c r="J25" i="16"/>
  <c r="D25" i="16"/>
  <c r="L25" i="16" s="1"/>
  <c r="J24" i="16"/>
  <c r="D24" i="16"/>
  <c r="L24" i="16"/>
  <c r="L23" i="16"/>
  <c r="J23" i="16"/>
  <c r="D23" i="16"/>
  <c r="L22" i="16"/>
  <c r="J22" i="16"/>
  <c r="L33" i="16" s="1"/>
  <c r="D22" i="16"/>
  <c r="J21" i="16"/>
  <c r="L34" i="16" s="1"/>
  <c r="D21" i="16"/>
  <c r="D20" i="16"/>
  <c r="L20" i="16" s="1"/>
  <c r="J16" i="16"/>
  <c r="D16" i="16"/>
  <c r="J15" i="16"/>
  <c r="D15" i="16"/>
  <c r="D14" i="16"/>
  <c r="F12" i="16"/>
  <c r="J10" i="16"/>
  <c r="J12" i="16" s="1"/>
  <c r="B10" i="16"/>
  <c r="D10" i="16" s="1"/>
  <c r="D4" i="16"/>
  <c r="B12" i="16"/>
  <c r="B18" i="16"/>
  <c r="B31" i="16" s="1"/>
  <c r="L21" i="16"/>
  <c r="G183" i="15"/>
  <c r="G174" i="15"/>
  <c r="G173" i="15"/>
  <c r="G165" i="15"/>
  <c r="G156" i="15"/>
  <c r="G146" i="15"/>
  <c r="G138" i="15"/>
  <c r="G137" i="15"/>
  <c r="G129" i="15"/>
  <c r="G128" i="15"/>
  <c r="G120" i="15"/>
  <c r="G119" i="15"/>
  <c r="G110" i="15"/>
  <c r="G101" i="15"/>
  <c r="G92" i="15"/>
  <c r="G75" i="15"/>
  <c r="G74" i="15"/>
  <c r="G66" i="15"/>
  <c r="G65" i="15"/>
  <c r="G57" i="15"/>
  <c r="G56" i="15"/>
  <c r="G39" i="15"/>
  <c r="G38" i="15"/>
  <c r="G29" i="15"/>
  <c r="G30" i="15"/>
  <c r="G155" i="15"/>
  <c r="G164" i="15"/>
  <c r="G12" i="15"/>
  <c r="G83" i="15"/>
  <c r="G102" i="15"/>
  <c r="G47" i="15"/>
  <c r="G84" i="15"/>
  <c r="G48" i="15"/>
  <c r="G93" i="15"/>
  <c r="G111" i="15"/>
  <c r="G21" i="15"/>
  <c r="G20" i="15"/>
  <c r="M12" i="9"/>
  <c r="K35" i="14"/>
  <c r="I41" i="14"/>
  <c r="I43" i="14"/>
  <c r="I33" i="13"/>
  <c r="K49" i="13" s="1"/>
  <c r="K44" i="12"/>
  <c r="K40" i="12"/>
  <c r="K28" i="12"/>
  <c r="A14" i="1"/>
  <c r="C66" i="3"/>
  <c r="I56" i="3"/>
  <c r="I27" i="3"/>
  <c r="C15" i="3"/>
  <c r="A11" i="3"/>
  <c r="C88" i="4"/>
  <c r="C84" i="4"/>
  <c r="C80" i="4"/>
  <c r="C76" i="4"/>
  <c r="C72" i="4"/>
  <c r="C68" i="4"/>
  <c r="G66" i="4"/>
  <c r="G65" i="4"/>
  <c r="G64" i="4"/>
  <c r="G62" i="4"/>
  <c r="G61" i="4"/>
  <c r="G60" i="4"/>
  <c r="G58" i="4"/>
  <c r="G57" i="4"/>
  <c r="G56" i="4"/>
  <c r="G54" i="4"/>
  <c r="G53" i="4"/>
  <c r="G52" i="4"/>
  <c r="G51" i="4"/>
  <c r="G50" i="4"/>
  <c r="G48" i="4"/>
  <c r="G45" i="4"/>
  <c r="G44" i="4"/>
  <c r="G40" i="4"/>
  <c r="G38" i="4"/>
  <c r="G36" i="4"/>
  <c r="G35" i="4"/>
  <c r="G32" i="4"/>
  <c r="G30" i="4"/>
  <c r="G29" i="4"/>
  <c r="G27" i="4"/>
  <c r="G26" i="4"/>
  <c r="G23" i="4"/>
  <c r="G22" i="4"/>
  <c r="G21" i="4"/>
  <c r="G20" i="4"/>
  <c r="G18" i="4"/>
  <c r="G17" i="4"/>
  <c r="G16" i="4"/>
  <c r="G14" i="4"/>
  <c r="G13" i="4"/>
  <c r="G12" i="4"/>
  <c r="G11" i="4"/>
  <c r="U93" i="1"/>
  <c r="T93" i="1"/>
  <c r="S93" i="1"/>
  <c r="R93" i="1"/>
  <c r="C91" i="3" s="1"/>
  <c r="U92" i="1"/>
  <c r="T92" i="1"/>
  <c r="S92" i="1"/>
  <c r="R92" i="1"/>
  <c r="C90" i="3" s="1"/>
  <c r="V92" i="1"/>
  <c r="U91" i="1"/>
  <c r="T91" i="1"/>
  <c r="S91" i="1"/>
  <c r="R91" i="1"/>
  <c r="U90" i="1"/>
  <c r="T90" i="1"/>
  <c r="S90" i="1"/>
  <c r="R90" i="1"/>
  <c r="C88" i="3" s="1"/>
  <c r="U89" i="1"/>
  <c r="T89" i="1"/>
  <c r="S89" i="1"/>
  <c r="R89" i="1"/>
  <c r="C87" i="3" s="1"/>
  <c r="U88" i="1"/>
  <c r="T88" i="1"/>
  <c r="S88" i="1"/>
  <c r="E86" i="4" s="1"/>
  <c r="R88" i="1"/>
  <c r="C86" i="3" s="1"/>
  <c r="V88" i="1"/>
  <c r="U87" i="1"/>
  <c r="T87" i="1"/>
  <c r="S87" i="1"/>
  <c r="R87" i="1"/>
  <c r="U86" i="1"/>
  <c r="T86" i="1"/>
  <c r="S86" i="1"/>
  <c r="R86" i="1"/>
  <c r="C84" i="3" s="1"/>
  <c r="U85" i="1"/>
  <c r="T85" i="1"/>
  <c r="S85" i="1"/>
  <c r="R85" i="1"/>
  <c r="C83" i="3" s="1"/>
  <c r="U84" i="1"/>
  <c r="T84" i="1"/>
  <c r="S84" i="1"/>
  <c r="R84" i="1"/>
  <c r="C82" i="3" s="1"/>
  <c r="V84" i="1"/>
  <c r="U83" i="1"/>
  <c r="T83" i="1"/>
  <c r="S83" i="1"/>
  <c r="R83" i="1"/>
  <c r="U82" i="1"/>
  <c r="T82" i="1"/>
  <c r="S82" i="1"/>
  <c r="R82" i="1"/>
  <c r="C80" i="3" s="1"/>
  <c r="U81" i="1"/>
  <c r="T81" i="1"/>
  <c r="S81" i="1"/>
  <c r="R81" i="1"/>
  <c r="C79" i="3" s="1"/>
  <c r="U80" i="1"/>
  <c r="T80" i="1"/>
  <c r="S80" i="1"/>
  <c r="E78" i="4" s="1"/>
  <c r="R80" i="1"/>
  <c r="C78" i="3" s="1"/>
  <c r="V80" i="1"/>
  <c r="U79" i="1"/>
  <c r="T79" i="1"/>
  <c r="S79" i="1"/>
  <c r="R79" i="1"/>
  <c r="U78" i="1"/>
  <c r="T78" i="1"/>
  <c r="S78" i="1"/>
  <c r="R78" i="1"/>
  <c r="C76" i="3" s="1"/>
  <c r="U77" i="1"/>
  <c r="T77" i="1"/>
  <c r="S77" i="1"/>
  <c r="R77" i="1"/>
  <c r="C75" i="3" s="1"/>
  <c r="U76" i="1"/>
  <c r="T76" i="1"/>
  <c r="S76" i="1"/>
  <c r="R76" i="1"/>
  <c r="C74" i="3" s="1"/>
  <c r="V76" i="1"/>
  <c r="U75" i="1"/>
  <c r="T75" i="1"/>
  <c r="S75" i="1"/>
  <c r="R75" i="1"/>
  <c r="U74" i="1"/>
  <c r="T74" i="1"/>
  <c r="S74" i="1"/>
  <c r="R74" i="1"/>
  <c r="C72" i="3" s="1"/>
  <c r="U73" i="1"/>
  <c r="T73" i="1"/>
  <c r="S73" i="1"/>
  <c r="R73" i="1"/>
  <c r="C71" i="3" s="1"/>
  <c r="U72" i="1"/>
  <c r="T72" i="1"/>
  <c r="G70" i="4" s="1"/>
  <c r="S72" i="1"/>
  <c r="R72" i="1"/>
  <c r="C70" i="3" s="1"/>
  <c r="V72" i="1"/>
  <c r="U71" i="1"/>
  <c r="T71" i="1"/>
  <c r="S71" i="1"/>
  <c r="R71" i="1"/>
  <c r="U70" i="1"/>
  <c r="T70" i="1"/>
  <c r="S70" i="1"/>
  <c r="R70" i="1"/>
  <c r="C68" i="3" s="1"/>
  <c r="U69" i="1"/>
  <c r="I67" i="3" s="1"/>
  <c r="T69" i="1"/>
  <c r="S69" i="1"/>
  <c r="R69" i="1"/>
  <c r="C67" i="3" s="1"/>
  <c r="U68" i="1"/>
  <c r="T68" i="1"/>
  <c r="G66" i="3" s="1"/>
  <c r="S68" i="1"/>
  <c r="E66" i="3" s="1"/>
  <c r="R68" i="1"/>
  <c r="C66" i="4" s="1"/>
  <c r="V68" i="1"/>
  <c r="U67" i="1"/>
  <c r="I65" i="3" s="1"/>
  <c r="T67" i="1"/>
  <c r="G65" i="3" s="1"/>
  <c r="S67" i="1"/>
  <c r="E65" i="3" s="1"/>
  <c r="R67" i="1"/>
  <c r="U66" i="1"/>
  <c r="I64" i="3" s="1"/>
  <c r="T66" i="1"/>
  <c r="G64" i="3" s="1"/>
  <c r="S66" i="1"/>
  <c r="R66" i="1"/>
  <c r="C64" i="3" s="1"/>
  <c r="U65" i="1"/>
  <c r="I63" i="3" s="1"/>
  <c r="T65" i="1"/>
  <c r="S65" i="1"/>
  <c r="E63" i="3" s="1"/>
  <c r="R65" i="1"/>
  <c r="C63" i="3" s="1"/>
  <c r="U64" i="1"/>
  <c r="T64" i="1"/>
  <c r="G62" i="3" s="1"/>
  <c r="S64" i="1"/>
  <c r="E62" i="3" s="1"/>
  <c r="R64" i="1"/>
  <c r="C62" i="3" s="1"/>
  <c r="V64" i="1"/>
  <c r="U63" i="1"/>
  <c r="I61" i="3" s="1"/>
  <c r="T63" i="1"/>
  <c r="G61" i="3" s="1"/>
  <c r="S63" i="1"/>
  <c r="E61" i="3" s="1"/>
  <c r="R63" i="1"/>
  <c r="U62" i="1"/>
  <c r="I60" i="3" s="1"/>
  <c r="T62" i="1"/>
  <c r="G60" i="3" s="1"/>
  <c r="S62" i="1"/>
  <c r="R62" i="1"/>
  <c r="C60" i="3" s="1"/>
  <c r="U61" i="1"/>
  <c r="I59" i="3" s="1"/>
  <c r="T61" i="1"/>
  <c r="S61" i="1"/>
  <c r="E59" i="3" s="1"/>
  <c r="R61" i="1"/>
  <c r="C59" i="3" s="1"/>
  <c r="U60" i="1"/>
  <c r="T60" i="1"/>
  <c r="G58" i="3" s="1"/>
  <c r="S60" i="1"/>
  <c r="E58" i="4" s="1"/>
  <c r="R60" i="1"/>
  <c r="C58" i="3" s="1"/>
  <c r="V60" i="1"/>
  <c r="U59" i="1"/>
  <c r="I57" i="3" s="1"/>
  <c r="T59" i="1"/>
  <c r="G57" i="3" s="1"/>
  <c r="S59" i="1"/>
  <c r="E57" i="3" s="1"/>
  <c r="R59" i="1"/>
  <c r="U58" i="1"/>
  <c r="I56" i="4" s="1"/>
  <c r="T58" i="1"/>
  <c r="G56" i="3" s="1"/>
  <c r="S58" i="1"/>
  <c r="R58" i="1"/>
  <c r="C56" i="3" s="1"/>
  <c r="U57" i="1"/>
  <c r="I55" i="3" s="1"/>
  <c r="T57" i="1"/>
  <c r="G55" i="3" s="1"/>
  <c r="R57" i="1"/>
  <c r="C55" i="3" s="1"/>
  <c r="U56" i="1"/>
  <c r="I54" i="3" s="1"/>
  <c r="T56" i="1"/>
  <c r="G54" i="3" s="1"/>
  <c r="R56" i="1"/>
  <c r="U55" i="1"/>
  <c r="I53" i="3" s="1"/>
  <c r="T55" i="1"/>
  <c r="G53" i="3" s="1"/>
  <c r="R55" i="1"/>
  <c r="C53" i="3" s="1"/>
  <c r="U54" i="1"/>
  <c r="T54" i="1"/>
  <c r="G52" i="3" s="1"/>
  <c r="R54" i="1"/>
  <c r="C52" i="3" s="1"/>
  <c r="U53" i="1"/>
  <c r="I51" i="3" s="1"/>
  <c r="R53" i="1"/>
  <c r="U52" i="1"/>
  <c r="I50" i="3" s="1"/>
  <c r="R52" i="1"/>
  <c r="C50" i="3" s="1"/>
  <c r="U51" i="1"/>
  <c r="I49" i="3" s="1"/>
  <c r="R51" i="1"/>
  <c r="U50" i="1"/>
  <c r="I48" i="3" s="1"/>
  <c r="R50" i="1"/>
  <c r="C48" i="3" s="1"/>
  <c r="U49" i="1"/>
  <c r="I47" i="3" s="1"/>
  <c r="R49" i="1"/>
  <c r="U48" i="1"/>
  <c r="I46" i="3" s="1"/>
  <c r="R48" i="1"/>
  <c r="C46" i="3" s="1"/>
  <c r="U47" i="1"/>
  <c r="I45" i="3" s="1"/>
  <c r="R47" i="1"/>
  <c r="C45" i="4" s="1"/>
  <c r="U46" i="1"/>
  <c r="I44" i="3" s="1"/>
  <c r="R46" i="1"/>
  <c r="C44" i="3" s="1"/>
  <c r="U45" i="1"/>
  <c r="I43" i="3" s="1"/>
  <c r="R45" i="1"/>
  <c r="U44" i="1"/>
  <c r="I42" i="3" s="1"/>
  <c r="R44" i="1"/>
  <c r="C42" i="3" s="1"/>
  <c r="U43" i="1"/>
  <c r="I41" i="3" s="1"/>
  <c r="R43" i="1"/>
  <c r="U42" i="1"/>
  <c r="I40" i="3" s="1"/>
  <c r="R42" i="1"/>
  <c r="C40" i="3" s="1"/>
  <c r="U41" i="1"/>
  <c r="I39" i="3" s="1"/>
  <c r="R41" i="1"/>
  <c r="U40" i="1"/>
  <c r="I38" i="3" s="1"/>
  <c r="R40" i="1"/>
  <c r="C38" i="3" s="1"/>
  <c r="U39" i="1"/>
  <c r="I37" i="3" s="1"/>
  <c r="R39" i="1"/>
  <c r="U38" i="1"/>
  <c r="I36" i="3" s="1"/>
  <c r="R38" i="1"/>
  <c r="C36" i="3" s="1"/>
  <c r="U37" i="1"/>
  <c r="I35" i="3" s="1"/>
  <c r="R37" i="1"/>
  <c r="U36" i="1"/>
  <c r="I34" i="3" s="1"/>
  <c r="R36" i="1"/>
  <c r="C34" i="3" s="1"/>
  <c r="U35" i="1"/>
  <c r="I33" i="3" s="1"/>
  <c r="R35" i="1"/>
  <c r="U34" i="1"/>
  <c r="I32" i="3" s="1"/>
  <c r="T34" i="1"/>
  <c r="G32" i="3" s="1"/>
  <c r="R34" i="1"/>
  <c r="C32" i="3" s="1"/>
  <c r="U33" i="1"/>
  <c r="R33" i="1"/>
  <c r="C31" i="3" s="1"/>
  <c r="U32" i="1"/>
  <c r="I30" i="3" s="1"/>
  <c r="T32" i="1"/>
  <c r="G30" i="3" s="1"/>
  <c r="R32" i="1"/>
  <c r="U31" i="1"/>
  <c r="I29" i="3" s="1"/>
  <c r="T31" i="1"/>
  <c r="G29" i="3" s="1"/>
  <c r="R31" i="1"/>
  <c r="C29" i="4" s="1"/>
  <c r="U30" i="1"/>
  <c r="R30" i="1"/>
  <c r="C28" i="3" s="1"/>
  <c r="U29" i="1"/>
  <c r="I27" i="4" s="1"/>
  <c r="T29" i="1"/>
  <c r="G27" i="3" s="1"/>
  <c r="R29" i="1"/>
  <c r="U28" i="1"/>
  <c r="I26" i="3" s="1"/>
  <c r="R28" i="1"/>
  <c r="C26" i="3" s="1"/>
  <c r="U27" i="1"/>
  <c r="I25" i="3" s="1"/>
  <c r="T27" i="1"/>
  <c r="G25" i="3" s="1"/>
  <c r="R27" i="1"/>
  <c r="C25" i="3" s="1"/>
  <c r="U26" i="1"/>
  <c r="I24" i="3" s="1"/>
  <c r="R26" i="1"/>
  <c r="C24" i="3" s="1"/>
  <c r="U25" i="1"/>
  <c r="T25" i="1"/>
  <c r="G23" i="3" s="1"/>
  <c r="R25" i="1"/>
  <c r="C23" i="3" s="1"/>
  <c r="U24" i="1"/>
  <c r="I22" i="3" s="1"/>
  <c r="R24" i="1"/>
  <c r="U23" i="1"/>
  <c r="I21" i="3" s="1"/>
  <c r="T23" i="1"/>
  <c r="G21" i="3" s="1"/>
  <c r="R23" i="1"/>
  <c r="C21" i="3" s="1"/>
  <c r="U22" i="1"/>
  <c r="T22" i="1"/>
  <c r="G20" i="3" s="1"/>
  <c r="R22" i="1"/>
  <c r="C20" i="3" s="1"/>
  <c r="U21" i="1"/>
  <c r="I19" i="3" s="1"/>
  <c r="T21" i="1"/>
  <c r="G19" i="3" s="1"/>
  <c r="R21" i="1"/>
  <c r="C19" i="3" s="1"/>
  <c r="U20" i="1"/>
  <c r="I18" i="3" s="1"/>
  <c r="T20" i="1"/>
  <c r="G18" i="3" s="1"/>
  <c r="R20" i="1"/>
  <c r="U19" i="1"/>
  <c r="I17" i="3" s="1"/>
  <c r="T19" i="1"/>
  <c r="G17" i="3" s="1"/>
  <c r="R19" i="1"/>
  <c r="C17" i="3" s="1"/>
  <c r="U18" i="1"/>
  <c r="T18" i="1"/>
  <c r="G16" i="3" s="1"/>
  <c r="R18" i="1"/>
  <c r="C16" i="3" s="1"/>
  <c r="U17" i="1"/>
  <c r="I15" i="3" s="1"/>
  <c r="T17" i="1"/>
  <c r="G15" i="3" s="1"/>
  <c r="R17" i="1"/>
  <c r="C15" i="4" s="1"/>
  <c r="U16" i="1"/>
  <c r="I14" i="3" s="1"/>
  <c r="T16" i="1"/>
  <c r="G14" i="3" s="1"/>
  <c r="R16" i="1"/>
  <c r="U15" i="1"/>
  <c r="I13" i="3" s="1"/>
  <c r="T15" i="1"/>
  <c r="G13" i="3" s="1"/>
  <c r="R15" i="1"/>
  <c r="C13" i="3" s="1"/>
  <c r="U14" i="1"/>
  <c r="T14" i="1"/>
  <c r="G12" i="3" s="1"/>
  <c r="R14" i="1"/>
  <c r="C12" i="3" s="1"/>
  <c r="U12" i="1"/>
  <c r="I10" i="3" s="1"/>
  <c r="T12" i="1"/>
  <c r="R12" i="1"/>
  <c r="C10" i="4" s="1"/>
  <c r="U13" i="1"/>
  <c r="I11" i="3" s="1"/>
  <c r="T13" i="1"/>
  <c r="G11" i="3" s="1"/>
  <c r="R13" i="1"/>
  <c r="L13" i="1"/>
  <c r="K13" i="1"/>
  <c r="I13" i="1"/>
  <c r="AA13" i="1"/>
  <c r="ET93" i="1"/>
  <c r="ET92" i="1"/>
  <c r="ET91" i="1"/>
  <c r="ET90" i="1"/>
  <c r="ET89" i="1"/>
  <c r="ET88" i="1"/>
  <c r="ET87" i="1"/>
  <c r="ET86" i="1"/>
  <c r="ET85" i="1"/>
  <c r="ET84" i="1"/>
  <c r="ET83" i="1"/>
  <c r="ET82" i="1"/>
  <c r="ET81" i="1"/>
  <c r="ET80" i="1"/>
  <c r="ET79" i="1"/>
  <c r="ET78" i="1"/>
  <c r="ET77" i="1"/>
  <c r="ET76" i="1"/>
  <c r="ET75" i="1"/>
  <c r="ET74" i="1"/>
  <c r="ET73" i="1"/>
  <c r="ET72" i="1"/>
  <c r="ET71" i="1"/>
  <c r="ET70" i="1"/>
  <c r="ET69" i="1"/>
  <c r="ET68" i="1"/>
  <c r="ET67" i="1"/>
  <c r="ET66" i="1"/>
  <c r="ET65" i="1"/>
  <c r="ET64" i="1"/>
  <c r="ET63" i="1"/>
  <c r="ET62" i="1"/>
  <c r="ET61" i="1"/>
  <c r="ET60" i="1"/>
  <c r="ET59" i="1"/>
  <c r="ET58" i="1"/>
  <c r="ET57" i="1"/>
  <c r="ET56" i="1"/>
  <c r="ET55" i="1"/>
  <c r="ET54" i="1"/>
  <c r="ET53" i="1"/>
  <c r="ET52" i="1"/>
  <c r="ET51" i="1"/>
  <c r="ET50" i="1"/>
  <c r="ET49" i="1"/>
  <c r="ET48" i="1"/>
  <c r="ET47" i="1"/>
  <c r="ET46" i="1"/>
  <c r="ET45" i="1"/>
  <c r="ET44" i="1"/>
  <c r="ET43" i="1"/>
  <c r="ET42" i="1"/>
  <c r="ET41" i="1"/>
  <c r="ET40" i="1"/>
  <c r="ET39" i="1"/>
  <c r="ET38" i="1"/>
  <c r="ET37" i="1"/>
  <c r="ET36" i="1"/>
  <c r="ET35" i="1"/>
  <c r="ET34" i="1"/>
  <c r="ET33" i="1"/>
  <c r="ET32" i="1"/>
  <c r="ET31" i="1"/>
  <c r="ET30" i="1"/>
  <c r="ET29" i="1"/>
  <c r="ET28" i="1"/>
  <c r="ET27" i="1"/>
  <c r="ET26" i="1"/>
  <c r="ET25" i="1"/>
  <c r="ET24" i="1"/>
  <c r="ET23" i="1"/>
  <c r="ET22" i="1"/>
  <c r="ET21" i="1"/>
  <c r="ET20" i="1"/>
  <c r="ET19" i="1"/>
  <c r="ET18" i="1"/>
  <c r="ET17" i="1"/>
  <c r="ET16" i="1"/>
  <c r="ET15" i="1"/>
  <c r="ET14" i="1"/>
  <c r="ET13" i="1"/>
  <c r="ET12" i="1"/>
  <c r="EM93" i="1"/>
  <c r="EM92" i="1"/>
  <c r="EM91" i="1"/>
  <c r="EM90" i="1"/>
  <c r="EM89" i="1"/>
  <c r="EM88" i="1"/>
  <c r="EM87" i="1"/>
  <c r="EM86" i="1"/>
  <c r="EM85" i="1"/>
  <c r="EM84" i="1"/>
  <c r="EM83" i="1"/>
  <c r="EM82" i="1"/>
  <c r="EM81" i="1"/>
  <c r="EM80" i="1"/>
  <c r="EM79" i="1"/>
  <c r="EM78" i="1"/>
  <c r="EM77" i="1"/>
  <c r="EM76" i="1"/>
  <c r="EM75" i="1"/>
  <c r="EM74" i="1"/>
  <c r="EM73" i="1"/>
  <c r="EM72" i="1"/>
  <c r="EM71" i="1"/>
  <c r="EM70" i="1"/>
  <c r="EM69" i="1"/>
  <c r="EM68" i="1"/>
  <c r="EM67" i="1"/>
  <c r="EM66" i="1"/>
  <c r="EM65" i="1"/>
  <c r="EM64" i="1"/>
  <c r="EM63" i="1"/>
  <c r="EM62" i="1"/>
  <c r="EM61" i="1"/>
  <c r="EM60" i="1"/>
  <c r="EM59" i="1"/>
  <c r="EM58" i="1"/>
  <c r="EM57" i="1"/>
  <c r="EM56" i="1"/>
  <c r="EM55" i="1"/>
  <c r="EM54" i="1"/>
  <c r="EM53" i="1"/>
  <c r="EM52" i="1"/>
  <c r="EM51" i="1"/>
  <c r="EM50" i="1"/>
  <c r="EM49" i="1"/>
  <c r="EM48" i="1"/>
  <c r="EM47" i="1"/>
  <c r="EM46" i="1"/>
  <c r="EM45" i="1"/>
  <c r="EM44" i="1"/>
  <c r="EM43" i="1"/>
  <c r="EM42" i="1"/>
  <c r="EM41" i="1"/>
  <c r="EM40" i="1"/>
  <c r="EM39" i="1"/>
  <c r="EM38" i="1"/>
  <c r="EM37" i="1"/>
  <c r="EM36" i="1"/>
  <c r="EM35" i="1"/>
  <c r="EM34" i="1"/>
  <c r="EM33" i="1"/>
  <c r="EM32" i="1"/>
  <c r="EM31" i="1"/>
  <c r="EM30" i="1"/>
  <c r="EM29" i="1"/>
  <c r="EM28" i="1"/>
  <c r="EM27" i="1"/>
  <c r="EM26" i="1"/>
  <c r="EM25" i="1"/>
  <c r="EM24" i="1"/>
  <c r="EM23" i="1"/>
  <c r="EM22" i="1"/>
  <c r="EM21" i="1"/>
  <c r="EM20" i="1"/>
  <c r="EM19" i="1"/>
  <c r="EM18" i="1"/>
  <c r="EM17" i="1"/>
  <c r="EM16" i="1"/>
  <c r="EM15" i="1"/>
  <c r="EM14" i="1"/>
  <c r="EM13" i="1"/>
  <c r="EM95" i="1" s="1"/>
  <c r="EM12" i="1"/>
  <c r="EF93" i="1"/>
  <c r="EF92" i="1"/>
  <c r="EF91" i="1"/>
  <c r="EF90" i="1"/>
  <c r="EF89" i="1"/>
  <c r="EF88" i="1"/>
  <c r="EF87" i="1"/>
  <c r="EF86" i="1"/>
  <c r="EF85" i="1"/>
  <c r="EF84" i="1"/>
  <c r="EF83" i="1"/>
  <c r="EF82" i="1"/>
  <c r="EF81" i="1"/>
  <c r="EF80" i="1"/>
  <c r="EF79" i="1"/>
  <c r="EF78" i="1"/>
  <c r="EF77" i="1"/>
  <c r="EF76" i="1"/>
  <c r="EF75" i="1"/>
  <c r="EF74" i="1"/>
  <c r="EF73" i="1"/>
  <c r="EF72" i="1"/>
  <c r="EF71" i="1"/>
  <c r="EF70" i="1"/>
  <c r="EF69" i="1"/>
  <c r="EF68" i="1"/>
  <c r="EF67" i="1"/>
  <c r="EF66" i="1"/>
  <c r="EF65" i="1"/>
  <c r="EF64" i="1"/>
  <c r="EF63" i="1"/>
  <c r="EF62" i="1"/>
  <c r="EF61" i="1"/>
  <c r="EF60" i="1"/>
  <c r="EF59" i="1"/>
  <c r="EF58" i="1"/>
  <c r="EF57" i="1"/>
  <c r="EF56" i="1"/>
  <c r="EF55" i="1"/>
  <c r="EF54" i="1"/>
  <c r="EF53" i="1"/>
  <c r="EF52" i="1"/>
  <c r="EF51" i="1"/>
  <c r="EF50" i="1"/>
  <c r="EF49" i="1"/>
  <c r="EF48" i="1"/>
  <c r="EF47" i="1"/>
  <c r="EF46" i="1"/>
  <c r="EF45" i="1"/>
  <c r="EF44" i="1"/>
  <c r="EF43" i="1"/>
  <c r="EF42" i="1"/>
  <c r="EF41" i="1"/>
  <c r="EF40" i="1"/>
  <c r="EF39" i="1"/>
  <c r="EF38" i="1"/>
  <c r="EF37" i="1"/>
  <c r="EF36" i="1"/>
  <c r="EF35" i="1"/>
  <c r="EF34" i="1"/>
  <c r="EF33" i="1"/>
  <c r="EF32" i="1"/>
  <c r="EF31" i="1"/>
  <c r="EF30" i="1"/>
  <c r="EF29" i="1"/>
  <c r="EF28" i="1"/>
  <c r="EF27" i="1"/>
  <c r="EF26" i="1"/>
  <c r="EF25" i="1"/>
  <c r="EF24" i="1"/>
  <c r="EF23" i="1"/>
  <c r="EF22" i="1"/>
  <c r="EF21" i="1"/>
  <c r="EF20" i="1"/>
  <c r="EF19" i="1"/>
  <c r="EF18" i="1"/>
  <c r="EF17" i="1"/>
  <c r="EF16" i="1"/>
  <c r="EF15" i="1"/>
  <c r="EF95" i="1" s="1"/>
  <c r="EF14" i="1"/>
  <c r="EF13" i="1"/>
  <c r="EF12" i="1"/>
  <c r="DY12" i="1"/>
  <c r="DY95" i="1" s="1"/>
  <c r="DR93" i="1"/>
  <c r="DR92" i="1"/>
  <c r="DR91" i="1"/>
  <c r="DR90" i="1"/>
  <c r="DR89" i="1"/>
  <c r="DR88" i="1"/>
  <c r="DR87" i="1"/>
  <c r="DR86" i="1"/>
  <c r="DR85" i="1"/>
  <c r="DR84" i="1"/>
  <c r="DR83" i="1"/>
  <c r="DR82" i="1"/>
  <c r="DR81" i="1"/>
  <c r="DR80" i="1"/>
  <c r="DR79" i="1"/>
  <c r="DR78" i="1"/>
  <c r="DR77" i="1"/>
  <c r="DR76" i="1"/>
  <c r="DR75" i="1"/>
  <c r="DR74" i="1"/>
  <c r="DR73" i="1"/>
  <c r="DR72" i="1"/>
  <c r="DR71" i="1"/>
  <c r="DR70" i="1"/>
  <c r="DR69" i="1"/>
  <c r="DR68" i="1"/>
  <c r="DR67" i="1"/>
  <c r="DR66" i="1"/>
  <c r="DR65" i="1"/>
  <c r="DR64" i="1"/>
  <c r="DR63" i="1"/>
  <c r="DR62" i="1"/>
  <c r="DR61" i="1"/>
  <c r="DR60" i="1"/>
  <c r="DR59" i="1"/>
  <c r="DR58" i="1"/>
  <c r="DR57" i="1"/>
  <c r="DR56" i="1"/>
  <c r="DR55" i="1"/>
  <c r="DR54" i="1"/>
  <c r="DR53" i="1"/>
  <c r="DR52" i="1"/>
  <c r="DR51" i="1"/>
  <c r="DR50" i="1"/>
  <c r="DR49" i="1"/>
  <c r="DR48" i="1"/>
  <c r="DR47" i="1"/>
  <c r="DR46" i="1"/>
  <c r="DR45" i="1"/>
  <c r="DR44" i="1"/>
  <c r="DR43" i="1"/>
  <c r="DR42" i="1"/>
  <c r="DR41" i="1"/>
  <c r="DR40" i="1"/>
  <c r="DR39" i="1"/>
  <c r="DR38" i="1"/>
  <c r="DR37" i="1"/>
  <c r="DR36" i="1"/>
  <c r="DR35" i="1"/>
  <c r="DR34" i="1"/>
  <c r="DR33" i="1"/>
  <c r="DR32" i="1"/>
  <c r="DR31" i="1"/>
  <c r="DR30" i="1"/>
  <c r="DR29" i="1"/>
  <c r="DR28" i="1"/>
  <c r="DR27" i="1"/>
  <c r="DR26" i="1"/>
  <c r="DR25" i="1"/>
  <c r="DR24" i="1"/>
  <c r="DR23" i="1"/>
  <c r="DR22" i="1"/>
  <c r="DR21" i="1"/>
  <c r="DR20" i="1"/>
  <c r="DR19" i="1"/>
  <c r="DR18" i="1"/>
  <c r="DR17" i="1"/>
  <c r="DR16" i="1"/>
  <c r="DR15" i="1"/>
  <c r="DR14" i="1"/>
  <c r="DR95" i="1" s="1"/>
  <c r="DR13" i="1"/>
  <c r="DR12" i="1"/>
  <c r="DL93" i="1"/>
  <c r="DL92" i="1"/>
  <c r="DL91" i="1"/>
  <c r="DL90" i="1"/>
  <c r="DL89" i="1"/>
  <c r="DL88" i="1"/>
  <c r="DL87" i="1"/>
  <c r="DL86" i="1"/>
  <c r="DL85" i="1"/>
  <c r="DL84" i="1"/>
  <c r="DL83" i="1"/>
  <c r="DL82" i="1"/>
  <c r="DL81" i="1"/>
  <c r="DL80" i="1"/>
  <c r="DL79" i="1"/>
  <c r="DL78" i="1"/>
  <c r="DL77" i="1"/>
  <c r="DL76" i="1"/>
  <c r="DL75" i="1"/>
  <c r="DL74" i="1"/>
  <c r="DL73" i="1"/>
  <c r="DL72" i="1"/>
  <c r="DL71" i="1"/>
  <c r="DL70" i="1"/>
  <c r="DL69" i="1"/>
  <c r="DL68" i="1"/>
  <c r="DL67" i="1"/>
  <c r="DL66" i="1"/>
  <c r="DL65" i="1"/>
  <c r="DL64" i="1"/>
  <c r="DL63" i="1"/>
  <c r="DL62" i="1"/>
  <c r="DL61" i="1"/>
  <c r="DL60" i="1"/>
  <c r="DL59" i="1"/>
  <c r="DL58" i="1"/>
  <c r="DL57" i="1"/>
  <c r="DL56" i="1"/>
  <c r="DL55" i="1"/>
  <c r="DL54" i="1"/>
  <c r="DL53" i="1"/>
  <c r="DL52" i="1"/>
  <c r="DL51" i="1"/>
  <c r="DL50" i="1"/>
  <c r="DL49" i="1"/>
  <c r="DL48" i="1"/>
  <c r="DL47" i="1"/>
  <c r="DL46" i="1"/>
  <c r="DL45" i="1"/>
  <c r="DL44" i="1"/>
  <c r="DL43" i="1"/>
  <c r="DL42" i="1"/>
  <c r="DL41" i="1"/>
  <c r="DL40" i="1"/>
  <c r="DL39" i="1"/>
  <c r="DL38" i="1"/>
  <c r="DL37" i="1"/>
  <c r="DL36" i="1"/>
  <c r="DL35" i="1"/>
  <c r="DL34" i="1"/>
  <c r="DL33" i="1"/>
  <c r="DL32" i="1"/>
  <c r="DL31" i="1"/>
  <c r="DL30" i="1"/>
  <c r="DL29" i="1"/>
  <c r="DL28" i="1"/>
  <c r="DL27" i="1"/>
  <c r="DL26" i="1"/>
  <c r="DL25" i="1"/>
  <c r="DL24" i="1"/>
  <c r="DL23" i="1"/>
  <c r="DL22" i="1"/>
  <c r="DL21" i="1"/>
  <c r="DL20" i="1"/>
  <c r="DL19" i="1"/>
  <c r="DL18" i="1"/>
  <c r="DL17" i="1"/>
  <c r="DL16" i="1"/>
  <c r="DL15" i="1"/>
  <c r="DL14" i="1"/>
  <c r="DL95" i="1"/>
  <c r="DL13" i="1"/>
  <c r="DL12" i="1"/>
  <c r="CS93" i="1"/>
  <c r="CS92" i="1"/>
  <c r="CS91" i="1"/>
  <c r="CS90" i="1"/>
  <c r="CS89" i="1"/>
  <c r="CS88" i="1"/>
  <c r="CS87" i="1"/>
  <c r="CS86" i="1"/>
  <c r="CS85" i="1"/>
  <c r="CS84" i="1"/>
  <c r="CS83" i="1"/>
  <c r="CS82" i="1"/>
  <c r="CS81" i="1"/>
  <c r="CS80" i="1"/>
  <c r="CS79" i="1"/>
  <c r="CS78" i="1"/>
  <c r="CS77" i="1"/>
  <c r="CS76" i="1"/>
  <c r="CS75" i="1"/>
  <c r="CS74" i="1"/>
  <c r="CS73" i="1"/>
  <c r="CS72" i="1"/>
  <c r="CS71" i="1"/>
  <c r="CS70" i="1"/>
  <c r="CS69" i="1"/>
  <c r="CS68" i="1"/>
  <c r="CS67" i="1"/>
  <c r="CS66" i="1"/>
  <c r="CS65" i="1"/>
  <c r="CS64" i="1"/>
  <c r="CS63" i="1"/>
  <c r="CS62" i="1"/>
  <c r="CS61" i="1"/>
  <c r="CS60" i="1"/>
  <c r="CS59" i="1"/>
  <c r="CS58" i="1"/>
  <c r="CS57" i="1"/>
  <c r="CS56" i="1"/>
  <c r="CS55" i="1"/>
  <c r="CS54" i="1"/>
  <c r="CS53" i="1"/>
  <c r="CS52" i="1"/>
  <c r="CS51" i="1"/>
  <c r="CS50" i="1"/>
  <c r="CS49" i="1"/>
  <c r="CS48" i="1"/>
  <c r="CS47" i="1"/>
  <c r="CS46" i="1"/>
  <c r="CS45" i="1"/>
  <c r="CS44" i="1"/>
  <c r="CS43" i="1"/>
  <c r="CS42" i="1"/>
  <c r="CS41" i="1"/>
  <c r="CS40" i="1"/>
  <c r="CS39" i="1"/>
  <c r="CS38" i="1"/>
  <c r="CS37" i="1"/>
  <c r="CS36" i="1"/>
  <c r="CS35" i="1"/>
  <c r="CS34" i="1"/>
  <c r="CS33" i="1"/>
  <c r="CS32" i="1"/>
  <c r="CS31" i="1"/>
  <c r="CS30" i="1"/>
  <c r="CS29" i="1"/>
  <c r="CS28" i="1"/>
  <c r="CS27" i="1"/>
  <c r="CS26" i="1"/>
  <c r="CS25" i="1"/>
  <c r="CS24" i="1"/>
  <c r="CS23" i="1"/>
  <c r="CS22" i="1"/>
  <c r="CS21" i="1"/>
  <c r="CS20" i="1"/>
  <c r="CS19" i="1"/>
  <c r="CS18" i="1"/>
  <c r="CS17" i="1"/>
  <c r="CS16" i="1"/>
  <c r="CS15" i="1"/>
  <c r="CS14" i="1"/>
  <c r="CS13" i="1"/>
  <c r="CS12" i="1"/>
  <c r="CS95" i="1" s="1"/>
  <c r="CL93" i="1"/>
  <c r="CL92" i="1"/>
  <c r="CL91" i="1"/>
  <c r="CL90" i="1"/>
  <c r="CL89" i="1"/>
  <c r="CL88" i="1"/>
  <c r="CL87" i="1"/>
  <c r="CL86" i="1"/>
  <c r="CL85" i="1"/>
  <c r="CL84" i="1"/>
  <c r="CL83" i="1"/>
  <c r="CL82" i="1"/>
  <c r="CL81" i="1"/>
  <c r="CL80" i="1"/>
  <c r="CL79" i="1"/>
  <c r="CL78" i="1"/>
  <c r="CL77" i="1"/>
  <c r="CL76" i="1"/>
  <c r="CL75" i="1"/>
  <c r="CL74" i="1"/>
  <c r="CL73" i="1"/>
  <c r="CL72" i="1"/>
  <c r="CL71" i="1"/>
  <c r="CL70" i="1"/>
  <c r="CL69" i="1"/>
  <c r="CL68" i="1"/>
  <c r="CL67" i="1"/>
  <c r="CL66" i="1"/>
  <c r="CL65" i="1"/>
  <c r="CL64" i="1"/>
  <c r="CL63" i="1"/>
  <c r="CL62" i="1"/>
  <c r="CL61" i="1"/>
  <c r="CL60" i="1"/>
  <c r="CL59" i="1"/>
  <c r="CL58" i="1"/>
  <c r="CL57" i="1"/>
  <c r="CL56" i="1"/>
  <c r="CL55" i="1"/>
  <c r="CL54" i="1"/>
  <c r="CL53" i="1"/>
  <c r="CL52" i="1"/>
  <c r="CL51" i="1"/>
  <c r="CL50" i="1"/>
  <c r="CL49" i="1"/>
  <c r="CL48" i="1"/>
  <c r="CL47" i="1"/>
  <c r="CL46" i="1"/>
  <c r="CL45" i="1"/>
  <c r="CL44" i="1"/>
  <c r="CL43" i="1"/>
  <c r="CL42" i="1"/>
  <c r="CL41" i="1"/>
  <c r="CL40" i="1"/>
  <c r="CL39" i="1"/>
  <c r="CL38" i="1"/>
  <c r="CL37" i="1"/>
  <c r="CL36" i="1"/>
  <c r="CL35" i="1"/>
  <c r="CL34" i="1"/>
  <c r="CL33" i="1"/>
  <c r="CL32" i="1"/>
  <c r="CL31" i="1"/>
  <c r="CL30" i="1"/>
  <c r="CL29" i="1"/>
  <c r="CL28" i="1"/>
  <c r="CL27" i="1"/>
  <c r="CL26" i="1"/>
  <c r="CL25" i="1"/>
  <c r="CL24" i="1"/>
  <c r="CL23" i="1"/>
  <c r="CL22" i="1"/>
  <c r="CL21" i="1"/>
  <c r="CL20" i="1"/>
  <c r="CL19" i="1"/>
  <c r="CL18" i="1"/>
  <c r="CL17" i="1"/>
  <c r="CL16" i="1"/>
  <c r="CL15" i="1"/>
  <c r="CL14" i="1"/>
  <c r="CL13" i="1"/>
  <c r="CL12" i="1"/>
  <c r="CF93" i="1"/>
  <c r="CF92" i="1"/>
  <c r="CF91" i="1"/>
  <c r="CF90" i="1"/>
  <c r="CF89" i="1"/>
  <c r="CF88" i="1"/>
  <c r="CF87" i="1"/>
  <c r="CF86" i="1"/>
  <c r="CF85" i="1"/>
  <c r="CF84" i="1"/>
  <c r="CF83" i="1"/>
  <c r="CF82" i="1"/>
  <c r="CF81" i="1"/>
  <c r="CF80" i="1"/>
  <c r="CF79" i="1"/>
  <c r="CF78" i="1"/>
  <c r="CF77" i="1"/>
  <c r="CF76" i="1"/>
  <c r="CF75" i="1"/>
  <c r="CF74" i="1"/>
  <c r="CF73" i="1"/>
  <c r="CF72" i="1"/>
  <c r="CF71" i="1"/>
  <c r="CF70" i="1"/>
  <c r="CF69" i="1"/>
  <c r="CF68" i="1"/>
  <c r="CF67" i="1"/>
  <c r="CF66" i="1"/>
  <c r="CF65" i="1"/>
  <c r="CF64" i="1"/>
  <c r="CF63" i="1"/>
  <c r="CF62" i="1"/>
  <c r="CF61" i="1"/>
  <c r="CF60" i="1"/>
  <c r="CF59" i="1"/>
  <c r="CF58" i="1"/>
  <c r="CF57" i="1"/>
  <c r="CF56" i="1"/>
  <c r="CF55" i="1"/>
  <c r="CF54" i="1"/>
  <c r="CF53" i="1"/>
  <c r="CF52" i="1"/>
  <c r="CF51" i="1"/>
  <c r="CF50" i="1"/>
  <c r="CF49" i="1"/>
  <c r="CF48" i="1"/>
  <c r="CF47" i="1"/>
  <c r="CF46" i="1"/>
  <c r="CF45" i="1"/>
  <c r="CF44" i="1"/>
  <c r="CF43" i="1"/>
  <c r="CF42" i="1"/>
  <c r="CF41" i="1"/>
  <c r="CF40" i="1"/>
  <c r="CF39" i="1"/>
  <c r="CF38" i="1"/>
  <c r="CF37" i="1"/>
  <c r="CF36" i="1"/>
  <c r="CF35" i="1"/>
  <c r="CF34" i="1"/>
  <c r="CF33" i="1"/>
  <c r="CF32" i="1"/>
  <c r="CF31" i="1"/>
  <c r="CF30" i="1"/>
  <c r="CF29" i="1"/>
  <c r="CF28" i="1"/>
  <c r="CF27" i="1"/>
  <c r="CF26" i="1"/>
  <c r="CF25" i="1"/>
  <c r="CF24" i="1"/>
  <c r="CF23" i="1"/>
  <c r="CF22" i="1"/>
  <c r="CF21" i="1"/>
  <c r="CF20" i="1"/>
  <c r="CF19" i="1"/>
  <c r="CF18" i="1"/>
  <c r="CF17" i="1"/>
  <c r="CF16" i="1"/>
  <c r="CF15" i="1"/>
  <c r="CF14" i="1"/>
  <c r="CF13" i="1"/>
  <c r="CF12" i="1"/>
  <c r="CF95" i="1" s="1"/>
  <c r="BL93" i="1"/>
  <c r="BL92" i="1"/>
  <c r="BL91" i="1"/>
  <c r="BL90" i="1"/>
  <c r="BL89" i="1"/>
  <c r="BL88" i="1"/>
  <c r="BL87" i="1"/>
  <c r="BL86" i="1"/>
  <c r="BL85" i="1"/>
  <c r="BL84" i="1"/>
  <c r="BL83" i="1"/>
  <c r="BL82" i="1"/>
  <c r="BL81" i="1"/>
  <c r="BL80" i="1"/>
  <c r="BL79" i="1"/>
  <c r="BL78" i="1"/>
  <c r="BL77" i="1"/>
  <c r="BL76" i="1"/>
  <c r="BL75" i="1"/>
  <c r="BL74" i="1"/>
  <c r="BL73" i="1"/>
  <c r="BL72" i="1"/>
  <c r="BL71" i="1"/>
  <c r="BL70" i="1"/>
  <c r="BL69" i="1"/>
  <c r="BL68" i="1"/>
  <c r="BL67" i="1"/>
  <c r="BL66" i="1"/>
  <c r="BL65" i="1"/>
  <c r="BL64" i="1"/>
  <c r="BL63" i="1"/>
  <c r="BL62" i="1"/>
  <c r="BL61" i="1"/>
  <c r="BL60" i="1"/>
  <c r="BL59" i="1"/>
  <c r="BL58" i="1"/>
  <c r="BF93" i="1"/>
  <c r="BF92" i="1"/>
  <c r="BF91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68" i="1"/>
  <c r="BF67" i="1"/>
  <c r="BF66" i="1"/>
  <c r="BF65" i="1"/>
  <c r="BF64" i="1"/>
  <c r="BF63" i="1"/>
  <c r="BF62" i="1"/>
  <c r="BF61" i="1"/>
  <c r="BF60" i="1"/>
  <c r="BF59" i="1"/>
  <c r="BF58" i="1"/>
  <c r="BF57" i="1"/>
  <c r="BF56" i="1"/>
  <c r="BF55" i="1"/>
  <c r="BF54" i="1"/>
  <c r="BF53" i="1"/>
  <c r="BF52" i="1"/>
  <c r="BF51" i="1"/>
  <c r="BF50" i="1"/>
  <c r="BF49" i="1"/>
  <c r="BF48" i="1"/>
  <c r="BF47" i="1"/>
  <c r="BF46" i="1"/>
  <c r="BF45" i="1"/>
  <c r="BF44" i="1"/>
  <c r="BF43" i="1"/>
  <c r="BF42" i="1"/>
  <c r="BF41" i="1"/>
  <c r="BF40" i="1"/>
  <c r="BF39" i="1"/>
  <c r="BF38" i="1"/>
  <c r="BF37" i="1"/>
  <c r="BF36" i="1"/>
  <c r="BF35" i="1"/>
  <c r="BF34" i="1"/>
  <c r="BF33" i="1"/>
  <c r="BF32" i="1"/>
  <c r="BF31" i="1"/>
  <c r="BF30" i="1"/>
  <c r="BF29" i="1"/>
  <c r="BF28" i="1"/>
  <c r="BF27" i="1"/>
  <c r="BF26" i="1"/>
  <c r="BF25" i="1"/>
  <c r="BF24" i="1"/>
  <c r="BF23" i="1"/>
  <c r="BF22" i="1"/>
  <c r="BF21" i="1"/>
  <c r="BF20" i="1"/>
  <c r="BF19" i="1"/>
  <c r="BF18" i="1"/>
  <c r="BF17" i="1"/>
  <c r="BF16" i="1"/>
  <c r="BF15" i="1"/>
  <c r="BF14" i="1"/>
  <c r="BF95" i="1" s="1"/>
  <c r="BF13" i="1"/>
  <c r="BF12" i="1"/>
  <c r="AZ93" i="1"/>
  <c r="AZ92" i="1"/>
  <c r="AZ91" i="1"/>
  <c r="AZ90" i="1"/>
  <c r="AZ89" i="1"/>
  <c r="AZ88" i="1"/>
  <c r="AZ87" i="1"/>
  <c r="AZ86" i="1"/>
  <c r="AZ85" i="1"/>
  <c r="AZ84" i="1"/>
  <c r="AZ83" i="1"/>
  <c r="AZ82" i="1"/>
  <c r="AZ81" i="1"/>
  <c r="AZ80" i="1"/>
  <c r="AZ79" i="1"/>
  <c r="AZ78" i="1"/>
  <c r="AZ77" i="1"/>
  <c r="AZ76" i="1"/>
  <c r="AZ75" i="1"/>
  <c r="AZ74" i="1"/>
  <c r="AZ73" i="1"/>
  <c r="AZ72" i="1"/>
  <c r="AZ71" i="1"/>
  <c r="AZ70" i="1"/>
  <c r="AZ69" i="1"/>
  <c r="AZ68" i="1"/>
  <c r="AZ67" i="1"/>
  <c r="AZ66" i="1"/>
  <c r="AZ65" i="1"/>
  <c r="AZ64" i="1"/>
  <c r="AZ63" i="1"/>
  <c r="AZ62" i="1"/>
  <c r="AZ61" i="1"/>
  <c r="AZ60" i="1"/>
  <c r="AZ59" i="1"/>
  <c r="AZ58" i="1"/>
  <c r="AZ57" i="1"/>
  <c r="AZ56" i="1"/>
  <c r="AZ55" i="1"/>
  <c r="AZ54" i="1"/>
  <c r="AZ53" i="1"/>
  <c r="AZ52" i="1"/>
  <c r="AZ51" i="1"/>
  <c r="AZ50" i="1"/>
  <c r="AZ49" i="1"/>
  <c r="AZ48" i="1"/>
  <c r="AZ47" i="1"/>
  <c r="AZ46" i="1"/>
  <c r="AZ45" i="1"/>
  <c r="AZ44" i="1"/>
  <c r="AZ43" i="1"/>
  <c r="AZ42" i="1"/>
  <c r="AZ41" i="1"/>
  <c r="AZ40" i="1"/>
  <c r="AZ39" i="1"/>
  <c r="AZ38" i="1"/>
  <c r="AZ37" i="1"/>
  <c r="AZ36" i="1"/>
  <c r="AZ35" i="1"/>
  <c r="AZ34" i="1"/>
  <c r="AZ33" i="1"/>
  <c r="AZ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95" i="1" s="1"/>
  <c r="AS93" i="1"/>
  <c r="AS92" i="1"/>
  <c r="AS91" i="1"/>
  <c r="AS90" i="1"/>
  <c r="AS89" i="1"/>
  <c r="AS88" i="1"/>
  <c r="AS87" i="1"/>
  <c r="AS86" i="1"/>
  <c r="AS85" i="1"/>
  <c r="AS84" i="1"/>
  <c r="AS83" i="1"/>
  <c r="AS82" i="1"/>
  <c r="AS81" i="1"/>
  <c r="AS80" i="1"/>
  <c r="AS79" i="1"/>
  <c r="AS78" i="1"/>
  <c r="AS77" i="1"/>
  <c r="AS76" i="1"/>
  <c r="AS75" i="1"/>
  <c r="AS74" i="1"/>
  <c r="AS73" i="1"/>
  <c r="AS72" i="1"/>
  <c r="AS71" i="1"/>
  <c r="AS70" i="1"/>
  <c r="AS69" i="1"/>
  <c r="AS68" i="1"/>
  <c r="AS67" i="1"/>
  <c r="AS66" i="1"/>
  <c r="AS65" i="1"/>
  <c r="AS64" i="1"/>
  <c r="AS63" i="1"/>
  <c r="AS62" i="1"/>
  <c r="AS61" i="1"/>
  <c r="AS60" i="1"/>
  <c r="AS59" i="1"/>
  <c r="AS58" i="1"/>
  <c r="AS57" i="1"/>
  <c r="AS56" i="1"/>
  <c r="AS55" i="1"/>
  <c r="AS54" i="1"/>
  <c r="AS53" i="1"/>
  <c r="AS52" i="1"/>
  <c r="AS51" i="1"/>
  <c r="AS50" i="1"/>
  <c r="AS49" i="1"/>
  <c r="AS48" i="1"/>
  <c r="AS47" i="1"/>
  <c r="AS46" i="1"/>
  <c r="AS45" i="1"/>
  <c r="AS44" i="1"/>
  <c r="AS43" i="1"/>
  <c r="AS42" i="1"/>
  <c r="AS41" i="1"/>
  <c r="AS40" i="1"/>
  <c r="AS39" i="1"/>
  <c r="AS38" i="1"/>
  <c r="AS37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95" i="1" s="1"/>
  <c r="AS13" i="1"/>
  <c r="AS12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95" i="1" s="1"/>
  <c r="BK57" i="1"/>
  <c r="DY93" i="1"/>
  <c r="DY92" i="1"/>
  <c r="DY91" i="1"/>
  <c r="DY90" i="1"/>
  <c r="DY89" i="1"/>
  <c r="DY88" i="1"/>
  <c r="DY87" i="1"/>
  <c r="DY86" i="1"/>
  <c r="DY85" i="1"/>
  <c r="DY84" i="1"/>
  <c r="DY83" i="1"/>
  <c r="DY82" i="1"/>
  <c r="DY81" i="1"/>
  <c r="DY80" i="1"/>
  <c r="DY79" i="1"/>
  <c r="DY78" i="1"/>
  <c r="DY77" i="1"/>
  <c r="DY76" i="1"/>
  <c r="DY75" i="1"/>
  <c r="DY74" i="1"/>
  <c r="DY73" i="1"/>
  <c r="DY72" i="1"/>
  <c r="DY71" i="1"/>
  <c r="DY70" i="1"/>
  <c r="DY69" i="1"/>
  <c r="DY68" i="1"/>
  <c r="DY67" i="1"/>
  <c r="DY66" i="1"/>
  <c r="DY65" i="1"/>
  <c r="DY64" i="1"/>
  <c r="DY63" i="1"/>
  <c r="DY62" i="1"/>
  <c r="DY61" i="1"/>
  <c r="DY60" i="1"/>
  <c r="DY59" i="1"/>
  <c r="DY58" i="1"/>
  <c r="DY57" i="1"/>
  <c r="DY56" i="1"/>
  <c r="DY55" i="1"/>
  <c r="DY54" i="1"/>
  <c r="DY53" i="1"/>
  <c r="DY52" i="1"/>
  <c r="DY51" i="1"/>
  <c r="DY50" i="1"/>
  <c r="DY49" i="1"/>
  <c r="DY48" i="1"/>
  <c r="DY47" i="1"/>
  <c r="DY46" i="1"/>
  <c r="DY45" i="1"/>
  <c r="DY44" i="1"/>
  <c r="DY43" i="1"/>
  <c r="DY42" i="1"/>
  <c r="DY41" i="1"/>
  <c r="DY40" i="1"/>
  <c r="DY39" i="1"/>
  <c r="DY38" i="1"/>
  <c r="DY37" i="1"/>
  <c r="DY36" i="1"/>
  <c r="DY35" i="1"/>
  <c r="DY34" i="1"/>
  <c r="DY33" i="1"/>
  <c r="DY32" i="1"/>
  <c r="DY31" i="1"/>
  <c r="DY30" i="1"/>
  <c r="DY29" i="1"/>
  <c r="DY28" i="1"/>
  <c r="DY27" i="1"/>
  <c r="DY26" i="1"/>
  <c r="DY25" i="1"/>
  <c r="DY24" i="1"/>
  <c r="DY23" i="1"/>
  <c r="DY22" i="1"/>
  <c r="DY21" i="1"/>
  <c r="DY20" i="1"/>
  <c r="DY19" i="1"/>
  <c r="DY18" i="1"/>
  <c r="DY17" i="1"/>
  <c r="DY16" i="1"/>
  <c r="DY15" i="1"/>
  <c r="DY14" i="1"/>
  <c r="DY13" i="1"/>
  <c r="CZ93" i="1"/>
  <c r="CZ92" i="1"/>
  <c r="CZ91" i="1"/>
  <c r="CZ90" i="1"/>
  <c r="CZ89" i="1"/>
  <c r="CZ88" i="1"/>
  <c r="CZ87" i="1"/>
  <c r="CZ86" i="1"/>
  <c r="CZ85" i="1"/>
  <c r="CZ84" i="1"/>
  <c r="CZ83" i="1"/>
  <c r="CZ82" i="1"/>
  <c r="CZ81" i="1"/>
  <c r="CZ80" i="1"/>
  <c r="CZ79" i="1"/>
  <c r="CZ78" i="1"/>
  <c r="CZ77" i="1"/>
  <c r="CZ76" i="1"/>
  <c r="CZ75" i="1"/>
  <c r="CZ74" i="1"/>
  <c r="CZ73" i="1"/>
  <c r="CZ72" i="1"/>
  <c r="CZ71" i="1"/>
  <c r="CZ70" i="1"/>
  <c r="CZ69" i="1"/>
  <c r="CZ68" i="1"/>
  <c r="CZ67" i="1"/>
  <c r="CZ66" i="1"/>
  <c r="CZ65" i="1"/>
  <c r="CZ64" i="1"/>
  <c r="CZ63" i="1"/>
  <c r="CZ62" i="1"/>
  <c r="CZ61" i="1"/>
  <c r="CZ60" i="1"/>
  <c r="CZ59" i="1"/>
  <c r="CZ58" i="1"/>
  <c r="CZ57" i="1"/>
  <c r="CZ56" i="1"/>
  <c r="CZ55" i="1"/>
  <c r="CZ54" i="1"/>
  <c r="CZ53" i="1"/>
  <c r="CZ52" i="1"/>
  <c r="CZ51" i="1"/>
  <c r="CZ50" i="1"/>
  <c r="CZ49" i="1"/>
  <c r="CZ48" i="1"/>
  <c r="CZ47" i="1"/>
  <c r="CZ46" i="1"/>
  <c r="CZ45" i="1"/>
  <c r="CZ44" i="1"/>
  <c r="CZ43" i="1"/>
  <c r="CZ42" i="1"/>
  <c r="CZ41" i="1"/>
  <c r="CZ40" i="1"/>
  <c r="CZ39" i="1"/>
  <c r="CZ38" i="1"/>
  <c r="CZ37" i="1"/>
  <c r="CZ36" i="1"/>
  <c r="CZ35" i="1"/>
  <c r="CZ34" i="1"/>
  <c r="CZ33" i="1"/>
  <c r="CZ32" i="1"/>
  <c r="CZ31" i="1"/>
  <c r="CZ30" i="1"/>
  <c r="CZ29" i="1"/>
  <c r="CZ28" i="1"/>
  <c r="CZ27" i="1"/>
  <c r="CZ26" i="1"/>
  <c r="CZ25" i="1"/>
  <c r="CZ24" i="1"/>
  <c r="CZ23" i="1"/>
  <c r="CZ22" i="1"/>
  <c r="CZ21" i="1"/>
  <c r="CZ20" i="1"/>
  <c r="CX19" i="1"/>
  <c r="BS93" i="1"/>
  <c r="BS92" i="1"/>
  <c r="BS91" i="1"/>
  <c r="BS90" i="1"/>
  <c r="BS89" i="1"/>
  <c r="BS88" i="1"/>
  <c r="BS87" i="1"/>
  <c r="BS86" i="1"/>
  <c r="BS85" i="1"/>
  <c r="BS84" i="1"/>
  <c r="BS83" i="1"/>
  <c r="BS82" i="1"/>
  <c r="BS81" i="1"/>
  <c r="BS80" i="1"/>
  <c r="BS79" i="1"/>
  <c r="BS78" i="1"/>
  <c r="BS77" i="1"/>
  <c r="BS76" i="1"/>
  <c r="BS75" i="1"/>
  <c r="BS74" i="1"/>
  <c r="BS73" i="1"/>
  <c r="BS72" i="1"/>
  <c r="BS71" i="1"/>
  <c r="BS70" i="1"/>
  <c r="BS69" i="1"/>
  <c r="BS68" i="1"/>
  <c r="BS67" i="1"/>
  <c r="BS66" i="1"/>
  <c r="BS65" i="1"/>
  <c r="BS64" i="1"/>
  <c r="BS63" i="1"/>
  <c r="BS62" i="1"/>
  <c r="BS61" i="1"/>
  <c r="BS60" i="1"/>
  <c r="BS59" i="1"/>
  <c r="BS58" i="1"/>
  <c r="BS57" i="1"/>
  <c r="BS56" i="1"/>
  <c r="BS55" i="1"/>
  <c r="BS54" i="1"/>
  <c r="BS53" i="1"/>
  <c r="BS52" i="1"/>
  <c r="BS51" i="1"/>
  <c r="BS50" i="1"/>
  <c r="BS49" i="1"/>
  <c r="BS48" i="1"/>
  <c r="BS47" i="1"/>
  <c r="BS46" i="1"/>
  <c r="BS45" i="1"/>
  <c r="BS44" i="1"/>
  <c r="BS43" i="1"/>
  <c r="BS42" i="1"/>
  <c r="BS41" i="1"/>
  <c r="BS40" i="1"/>
  <c r="BS39" i="1"/>
  <c r="BS38" i="1"/>
  <c r="BS37" i="1"/>
  <c r="BS36" i="1"/>
  <c r="BS35" i="1"/>
  <c r="BS34" i="1"/>
  <c r="BS33" i="1"/>
  <c r="BS32" i="1"/>
  <c r="BS31" i="1"/>
  <c r="BS30" i="1"/>
  <c r="BS29" i="1"/>
  <c r="BS28" i="1"/>
  <c r="BS27" i="1"/>
  <c r="BS26" i="1"/>
  <c r="BS25" i="1"/>
  <c r="BS24" i="1"/>
  <c r="BS23" i="1"/>
  <c r="BS22" i="1"/>
  <c r="BS21" i="1"/>
  <c r="BS20" i="1"/>
  <c r="BS19" i="1"/>
  <c r="BS18" i="1"/>
  <c r="BS17" i="1"/>
  <c r="BS16" i="1"/>
  <c r="BS15" i="1"/>
  <c r="BS95" i="1" s="1"/>
  <c r="BS14" i="1"/>
  <c r="BS13" i="1"/>
  <c r="BS12" i="1"/>
  <c r="L93" i="1"/>
  <c r="M93" i="1" s="1"/>
  <c r="K93" i="1"/>
  <c r="J93" i="1"/>
  <c r="I93" i="1"/>
  <c r="L91" i="1"/>
  <c r="M91" i="1" s="1"/>
  <c r="K91" i="1"/>
  <c r="J91" i="1"/>
  <c r="I91" i="1"/>
  <c r="L89" i="1"/>
  <c r="M89" i="1" s="1"/>
  <c r="K89" i="1"/>
  <c r="J89" i="1"/>
  <c r="I89" i="1"/>
  <c r="L87" i="1"/>
  <c r="K87" i="1"/>
  <c r="J87" i="1"/>
  <c r="I87" i="1"/>
  <c r="M87" i="1"/>
  <c r="L85" i="1"/>
  <c r="K85" i="1"/>
  <c r="J85" i="1"/>
  <c r="I85" i="1"/>
  <c r="M85" i="1" s="1"/>
  <c r="L83" i="1"/>
  <c r="K83" i="1"/>
  <c r="J83" i="1"/>
  <c r="I83" i="1"/>
  <c r="M83" i="1" s="1"/>
  <c r="L81" i="1"/>
  <c r="K81" i="1"/>
  <c r="J81" i="1"/>
  <c r="I81" i="1"/>
  <c r="M81" i="1" s="1"/>
  <c r="L79" i="1"/>
  <c r="K79" i="1"/>
  <c r="J79" i="1"/>
  <c r="I79" i="1"/>
  <c r="M79" i="1" s="1"/>
  <c r="L77" i="1"/>
  <c r="K77" i="1"/>
  <c r="J77" i="1"/>
  <c r="M77" i="1" s="1"/>
  <c r="I77" i="1"/>
  <c r="L75" i="1"/>
  <c r="K75" i="1"/>
  <c r="J75" i="1"/>
  <c r="M75" i="1" s="1"/>
  <c r="I75" i="1"/>
  <c r="L73" i="1"/>
  <c r="K73" i="1"/>
  <c r="J73" i="1"/>
  <c r="I73" i="1"/>
  <c r="L71" i="1"/>
  <c r="K71" i="1"/>
  <c r="J71" i="1"/>
  <c r="I71" i="1"/>
  <c r="M71" i="1" s="1"/>
  <c r="L69" i="1"/>
  <c r="K69" i="1"/>
  <c r="M69" i="1" s="1"/>
  <c r="J69" i="1"/>
  <c r="I69" i="1"/>
  <c r="L67" i="1"/>
  <c r="K67" i="1"/>
  <c r="J67" i="1"/>
  <c r="I67" i="1"/>
  <c r="L65" i="1"/>
  <c r="K65" i="1"/>
  <c r="M65" i="1" s="1"/>
  <c r="J65" i="1"/>
  <c r="I65" i="1"/>
  <c r="L63" i="1"/>
  <c r="M63" i="1"/>
  <c r="K63" i="1"/>
  <c r="J63" i="1"/>
  <c r="I63" i="1"/>
  <c r="L61" i="1"/>
  <c r="M61" i="1" s="1"/>
  <c r="K61" i="1"/>
  <c r="J61" i="1"/>
  <c r="I61" i="1"/>
  <c r="L59" i="1"/>
  <c r="K59" i="1"/>
  <c r="J59" i="1"/>
  <c r="I59" i="1"/>
  <c r="L57" i="1"/>
  <c r="K57" i="1"/>
  <c r="I57" i="1"/>
  <c r="L55" i="1"/>
  <c r="K55" i="1"/>
  <c r="I55" i="1"/>
  <c r="L53" i="1"/>
  <c r="I53" i="1"/>
  <c r="L51" i="1"/>
  <c r="I51" i="1"/>
  <c r="L49" i="1"/>
  <c r="I49" i="1"/>
  <c r="L47" i="1"/>
  <c r="I47" i="1"/>
  <c r="L45" i="1"/>
  <c r="I45" i="1"/>
  <c r="L43" i="1"/>
  <c r="I43" i="1"/>
  <c r="L41" i="1"/>
  <c r="I41" i="1"/>
  <c r="L39" i="1"/>
  <c r="I39" i="1"/>
  <c r="L37" i="1"/>
  <c r="I37" i="1"/>
  <c r="L35" i="1"/>
  <c r="I35" i="1"/>
  <c r="L33" i="1"/>
  <c r="I33" i="1"/>
  <c r="L31" i="1"/>
  <c r="I31" i="1"/>
  <c r="L29" i="1"/>
  <c r="I29" i="1"/>
  <c r="L27" i="1"/>
  <c r="I27" i="1"/>
  <c r="L25" i="1"/>
  <c r="I25" i="1"/>
  <c r="L23" i="1"/>
  <c r="K23" i="1"/>
  <c r="I23" i="1"/>
  <c r="L21" i="1"/>
  <c r="L95" i="1" s="1"/>
  <c r="K21" i="1"/>
  <c r="I21" i="1"/>
  <c r="L19" i="1"/>
  <c r="K19" i="1"/>
  <c r="I19" i="1"/>
  <c r="L17" i="1"/>
  <c r="K17" i="1"/>
  <c r="I17" i="1"/>
  <c r="L15" i="1"/>
  <c r="K15" i="1"/>
  <c r="I15" i="1"/>
  <c r="ES95" i="1"/>
  <c r="ER95" i="1"/>
  <c r="EP95" i="1"/>
  <c r="EL95" i="1"/>
  <c r="EK95" i="1"/>
  <c r="EI95" i="1"/>
  <c r="EE95" i="1"/>
  <c r="ED95" i="1"/>
  <c r="EB95" i="1"/>
  <c r="DX95" i="1"/>
  <c r="DW95" i="1"/>
  <c r="DU95" i="1"/>
  <c r="DQ95" i="1"/>
  <c r="DO95" i="1"/>
  <c r="DK95" i="1"/>
  <c r="DI95" i="1"/>
  <c r="DF95" i="1"/>
  <c r="DE95" i="1"/>
  <c r="DC95" i="1"/>
  <c r="CY95" i="1"/>
  <c r="CV95" i="1"/>
  <c r="CR95" i="1"/>
  <c r="CQ95" i="1"/>
  <c r="CO95" i="1"/>
  <c r="CK95" i="1"/>
  <c r="CI95" i="1"/>
  <c r="CE95" i="1"/>
  <c r="CD95" i="1"/>
  <c r="CB95" i="1"/>
  <c r="BY95" i="1"/>
  <c r="BX95" i="1"/>
  <c r="BV95" i="1"/>
  <c r="BR95" i="1"/>
  <c r="BQ95" i="1"/>
  <c r="BO95" i="1"/>
  <c r="BI95" i="1"/>
  <c r="BE95" i="1"/>
  <c r="BC95" i="1"/>
  <c r="AY95" i="1"/>
  <c r="AX95" i="1"/>
  <c r="AV95" i="1"/>
  <c r="AR95" i="1"/>
  <c r="AQ95" i="1"/>
  <c r="AO95" i="1"/>
  <c r="AK95" i="1"/>
  <c r="AJ95" i="1"/>
  <c r="AI95" i="1"/>
  <c r="AG95" i="1"/>
  <c r="AC95" i="1"/>
  <c r="Y95" i="1"/>
  <c r="C100" i="4" s="1"/>
  <c r="AB53" i="1"/>
  <c r="AA53" i="1"/>
  <c r="AB52" i="1"/>
  <c r="T52" i="1"/>
  <c r="G50" i="3" s="1"/>
  <c r="AB51" i="1"/>
  <c r="AB50" i="1"/>
  <c r="AB49" i="1"/>
  <c r="T49" i="1"/>
  <c r="G47" i="3" s="1"/>
  <c r="AB48" i="1"/>
  <c r="AB47" i="1"/>
  <c r="T47" i="1"/>
  <c r="G45" i="3" s="1"/>
  <c r="AB46" i="1"/>
  <c r="T46" i="1" s="1"/>
  <c r="G44" i="3" s="1"/>
  <c r="AB45" i="1"/>
  <c r="AB44" i="1"/>
  <c r="K45" i="1" s="1"/>
  <c r="T44" i="1"/>
  <c r="G42" i="3" s="1"/>
  <c r="AB43" i="1"/>
  <c r="T43" i="1" s="1"/>
  <c r="G41" i="3" s="1"/>
  <c r="AB42" i="1"/>
  <c r="AB41" i="1"/>
  <c r="AB40" i="1"/>
  <c r="AB39" i="1"/>
  <c r="T39" i="1"/>
  <c r="AB38" i="1"/>
  <c r="AB37" i="1"/>
  <c r="AB36" i="1"/>
  <c r="AB35" i="1"/>
  <c r="AB33" i="1"/>
  <c r="AB30" i="1"/>
  <c r="K31" i="1" s="1"/>
  <c r="AB28" i="1"/>
  <c r="K29" i="1" s="1"/>
  <c r="T28" i="1"/>
  <c r="G26" i="3" s="1"/>
  <c r="AB26" i="1"/>
  <c r="AB2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DE93" i="11"/>
  <c r="DE92" i="11"/>
  <c r="DE91" i="11"/>
  <c r="DE90" i="11"/>
  <c r="DE89" i="11"/>
  <c r="DE88" i="11"/>
  <c r="DE87" i="11"/>
  <c r="DE86" i="11"/>
  <c r="DE85" i="11"/>
  <c r="DE84" i="11"/>
  <c r="DE83" i="11"/>
  <c r="DE82" i="11"/>
  <c r="DE81" i="11"/>
  <c r="DE80" i="11"/>
  <c r="DE79" i="11"/>
  <c r="DE78" i="11"/>
  <c r="DE77" i="11"/>
  <c r="DE76" i="11"/>
  <c r="DE75" i="11"/>
  <c r="DE74" i="11"/>
  <c r="DE73" i="11"/>
  <c r="DE72" i="11"/>
  <c r="DE71" i="11"/>
  <c r="DE70" i="11"/>
  <c r="DE69" i="11"/>
  <c r="DE68" i="11"/>
  <c r="DE67" i="11"/>
  <c r="DE66" i="11"/>
  <c r="DE65" i="11"/>
  <c r="DE64" i="11"/>
  <c r="DE63" i="11"/>
  <c r="DE62" i="11"/>
  <c r="DE61" i="11"/>
  <c r="DE60" i="11"/>
  <c r="DE59" i="11"/>
  <c r="DE58" i="11"/>
  <c r="DE57" i="11"/>
  <c r="DE56" i="11"/>
  <c r="DE55" i="11"/>
  <c r="DE54" i="11"/>
  <c r="DE53" i="11"/>
  <c r="DE52" i="11"/>
  <c r="DE51" i="11"/>
  <c r="DE50" i="11"/>
  <c r="DE49" i="11"/>
  <c r="DE48" i="11"/>
  <c r="DE47" i="11"/>
  <c r="DE46" i="11"/>
  <c r="DE45" i="11"/>
  <c r="DE44" i="11"/>
  <c r="DE43" i="11"/>
  <c r="DE42" i="11"/>
  <c r="DE41" i="11"/>
  <c r="DE40" i="11"/>
  <c r="DE39" i="11"/>
  <c r="DE38" i="11"/>
  <c r="DE37" i="11"/>
  <c r="DE36" i="11"/>
  <c r="DE35" i="11"/>
  <c r="DE34" i="11"/>
  <c r="DE33" i="11"/>
  <c r="DE32" i="11"/>
  <c r="DE31" i="11"/>
  <c r="DE30" i="11"/>
  <c r="DE29" i="11"/>
  <c r="DE28" i="11"/>
  <c r="DE27" i="11"/>
  <c r="DE26" i="11"/>
  <c r="DE25" i="11"/>
  <c r="DE24" i="11"/>
  <c r="DE23" i="11"/>
  <c r="DE22" i="11"/>
  <c r="DE21" i="11"/>
  <c r="DE20" i="11"/>
  <c r="DE19" i="11"/>
  <c r="DE18" i="11"/>
  <c r="DE17" i="11"/>
  <c r="DE16" i="11"/>
  <c r="DE15" i="11"/>
  <c r="DE14" i="11"/>
  <c r="DE13" i="11"/>
  <c r="DD12" i="11"/>
  <c r="DE12" i="11"/>
  <c r="DE95" i="11" s="1"/>
  <c r="DZ93" i="11"/>
  <c r="DZ92" i="11"/>
  <c r="DZ91" i="11"/>
  <c r="DZ90" i="11"/>
  <c r="DZ89" i="11"/>
  <c r="DZ88" i="11"/>
  <c r="DZ87" i="11"/>
  <c r="DZ86" i="11"/>
  <c r="DZ85" i="11"/>
  <c r="DZ84" i="11"/>
  <c r="DZ83" i="11"/>
  <c r="DZ82" i="11"/>
  <c r="DZ81" i="11"/>
  <c r="DZ80" i="11"/>
  <c r="DZ79" i="11"/>
  <c r="DZ78" i="11"/>
  <c r="DZ77" i="11"/>
  <c r="DZ76" i="11"/>
  <c r="DZ75" i="11"/>
  <c r="DZ74" i="11"/>
  <c r="DZ73" i="11"/>
  <c r="DZ72" i="11"/>
  <c r="DZ71" i="11"/>
  <c r="DZ70" i="11"/>
  <c r="DZ69" i="11"/>
  <c r="DZ68" i="11"/>
  <c r="DZ67" i="11"/>
  <c r="DZ66" i="11"/>
  <c r="DZ65" i="11"/>
  <c r="DZ64" i="11"/>
  <c r="DZ63" i="11"/>
  <c r="DZ62" i="11"/>
  <c r="DZ61" i="11"/>
  <c r="DZ60" i="11"/>
  <c r="DZ59" i="11"/>
  <c r="DZ58" i="11"/>
  <c r="DZ57" i="11"/>
  <c r="DZ56" i="11"/>
  <c r="DZ55" i="11"/>
  <c r="DZ54" i="11"/>
  <c r="DZ53" i="11"/>
  <c r="DZ52" i="11"/>
  <c r="DZ51" i="11"/>
  <c r="DZ50" i="11"/>
  <c r="DZ49" i="11"/>
  <c r="DZ48" i="11"/>
  <c r="DZ47" i="11"/>
  <c r="DZ46" i="11"/>
  <c r="DZ45" i="11"/>
  <c r="DZ44" i="11"/>
  <c r="DZ43" i="11"/>
  <c r="DZ42" i="11"/>
  <c r="DZ41" i="11"/>
  <c r="DZ40" i="11"/>
  <c r="DZ39" i="11"/>
  <c r="DZ38" i="11"/>
  <c r="DZ37" i="11"/>
  <c r="DZ36" i="11"/>
  <c r="DZ35" i="11"/>
  <c r="DZ34" i="11"/>
  <c r="DZ33" i="11"/>
  <c r="DZ32" i="11"/>
  <c r="DZ31" i="11"/>
  <c r="DZ30" i="11"/>
  <c r="DZ29" i="11"/>
  <c r="DZ28" i="11"/>
  <c r="DZ27" i="11"/>
  <c r="DZ26" i="11"/>
  <c r="DZ25" i="11"/>
  <c r="DZ24" i="11"/>
  <c r="DZ23" i="11"/>
  <c r="DZ22" i="11"/>
  <c r="DZ21" i="11"/>
  <c r="DZ20" i="11"/>
  <c r="DZ19" i="11"/>
  <c r="DZ18" i="11"/>
  <c r="DZ17" i="11"/>
  <c r="DZ16" i="11"/>
  <c r="DZ15" i="11"/>
  <c r="DZ14" i="11"/>
  <c r="DZ13" i="11"/>
  <c r="DZ12" i="11"/>
  <c r="DS93" i="11"/>
  <c r="DS92" i="11"/>
  <c r="DS91" i="11"/>
  <c r="DS90" i="11"/>
  <c r="DS89" i="11"/>
  <c r="DS88" i="11"/>
  <c r="DS87" i="11"/>
  <c r="DS86" i="11"/>
  <c r="DS85" i="11"/>
  <c r="DS84" i="11"/>
  <c r="DS83" i="11"/>
  <c r="DS82" i="11"/>
  <c r="DS81" i="11"/>
  <c r="DS80" i="11"/>
  <c r="DS79" i="11"/>
  <c r="DS78" i="11"/>
  <c r="DS77" i="11"/>
  <c r="DS76" i="11"/>
  <c r="DS75" i="11"/>
  <c r="DS74" i="11"/>
  <c r="DS73" i="11"/>
  <c r="DS72" i="11"/>
  <c r="DS71" i="11"/>
  <c r="DS70" i="11"/>
  <c r="DS69" i="11"/>
  <c r="DS68" i="11"/>
  <c r="DS67" i="11"/>
  <c r="DS66" i="11"/>
  <c r="DS65" i="11"/>
  <c r="DS64" i="11"/>
  <c r="DS63" i="11"/>
  <c r="DS62" i="11"/>
  <c r="DS61" i="11"/>
  <c r="DS60" i="11"/>
  <c r="DS59" i="11"/>
  <c r="DS58" i="11"/>
  <c r="DS57" i="11"/>
  <c r="DS56" i="11"/>
  <c r="DS55" i="11"/>
  <c r="DS54" i="11"/>
  <c r="DS53" i="11"/>
  <c r="DS52" i="11"/>
  <c r="DS51" i="11"/>
  <c r="DS50" i="11"/>
  <c r="DS49" i="11"/>
  <c r="DS48" i="11"/>
  <c r="DS47" i="11"/>
  <c r="DS46" i="11"/>
  <c r="DS45" i="11"/>
  <c r="DS44" i="11"/>
  <c r="DS43" i="11"/>
  <c r="DS42" i="11"/>
  <c r="DS41" i="11"/>
  <c r="DS40" i="11"/>
  <c r="DS39" i="11"/>
  <c r="DS38" i="11"/>
  <c r="DS37" i="11"/>
  <c r="DS36" i="11"/>
  <c r="DS35" i="11"/>
  <c r="DS34" i="11"/>
  <c r="DS33" i="11"/>
  <c r="DS32" i="11"/>
  <c r="DS31" i="11"/>
  <c r="DS30" i="11"/>
  <c r="DS29" i="11"/>
  <c r="DS28" i="11"/>
  <c r="DS27" i="11"/>
  <c r="DS26" i="11"/>
  <c r="DS25" i="11"/>
  <c r="DS24" i="11"/>
  <c r="DS23" i="11"/>
  <c r="DS22" i="11"/>
  <c r="DS21" i="11"/>
  <c r="DS20" i="11"/>
  <c r="DS19" i="11"/>
  <c r="DS18" i="11"/>
  <c r="DS17" i="11"/>
  <c r="DS16" i="11"/>
  <c r="DS15" i="11"/>
  <c r="DS14" i="11"/>
  <c r="DS13" i="11"/>
  <c r="DS12" i="11"/>
  <c r="DS95" i="11" s="1"/>
  <c r="DL93" i="11"/>
  <c r="DL92" i="11"/>
  <c r="DL91" i="11"/>
  <c r="DL90" i="11"/>
  <c r="DL89" i="11"/>
  <c r="DL88" i="11"/>
  <c r="DL87" i="11"/>
  <c r="DL86" i="11"/>
  <c r="DL85" i="11"/>
  <c r="DL84" i="11"/>
  <c r="DL83" i="11"/>
  <c r="DL82" i="11"/>
  <c r="DL81" i="11"/>
  <c r="DL80" i="11"/>
  <c r="DL79" i="11"/>
  <c r="DL78" i="11"/>
  <c r="DL77" i="11"/>
  <c r="DL76" i="11"/>
  <c r="DL75" i="11"/>
  <c r="DL74" i="11"/>
  <c r="DL73" i="11"/>
  <c r="DL72" i="11"/>
  <c r="DL71" i="11"/>
  <c r="DL70" i="11"/>
  <c r="DL69" i="11"/>
  <c r="DL68" i="11"/>
  <c r="DL67" i="11"/>
  <c r="DL66" i="11"/>
  <c r="DL65" i="11"/>
  <c r="DL64" i="11"/>
  <c r="DL63" i="11"/>
  <c r="DL62" i="11"/>
  <c r="DL61" i="11"/>
  <c r="DL60" i="11"/>
  <c r="DL59" i="11"/>
  <c r="DL58" i="11"/>
  <c r="DL57" i="11"/>
  <c r="DL56" i="11"/>
  <c r="DL55" i="11"/>
  <c r="DL54" i="11"/>
  <c r="DL53" i="11"/>
  <c r="DL52" i="11"/>
  <c r="DL51" i="11"/>
  <c r="DL50" i="11"/>
  <c r="DL49" i="11"/>
  <c r="DL48" i="11"/>
  <c r="DL47" i="11"/>
  <c r="DL46" i="11"/>
  <c r="DL45" i="11"/>
  <c r="DL44" i="11"/>
  <c r="DL43" i="11"/>
  <c r="DL42" i="11"/>
  <c r="DL41" i="11"/>
  <c r="DL40" i="11"/>
  <c r="DL39" i="11"/>
  <c r="DL38" i="11"/>
  <c r="DL37" i="11"/>
  <c r="DL36" i="11"/>
  <c r="DL35" i="11"/>
  <c r="DL34" i="11"/>
  <c r="DL33" i="11"/>
  <c r="DL32" i="11"/>
  <c r="DL31" i="11"/>
  <c r="DL30" i="11"/>
  <c r="DL29" i="11"/>
  <c r="DL28" i="11"/>
  <c r="DL27" i="11"/>
  <c r="DL26" i="11"/>
  <c r="DL25" i="11"/>
  <c r="DL24" i="11"/>
  <c r="DL23" i="11"/>
  <c r="DL22" i="11"/>
  <c r="DL21" i="11"/>
  <c r="DL20" i="11"/>
  <c r="DL19" i="11"/>
  <c r="DL18" i="11"/>
  <c r="DL17" i="11"/>
  <c r="DL16" i="11"/>
  <c r="DL15" i="11"/>
  <c r="DL14" i="11"/>
  <c r="DL13" i="11"/>
  <c r="DL12" i="11"/>
  <c r="AX93" i="11"/>
  <c r="AX92" i="11"/>
  <c r="AX91" i="11"/>
  <c r="AX90" i="11"/>
  <c r="AX89" i="11"/>
  <c r="AX88" i="11"/>
  <c r="AX87" i="11"/>
  <c r="AX86" i="11"/>
  <c r="AX85" i="11"/>
  <c r="AX84" i="11"/>
  <c r="AX83" i="11"/>
  <c r="AX82" i="11"/>
  <c r="AX81" i="11"/>
  <c r="AX80" i="11"/>
  <c r="AX79" i="11"/>
  <c r="AX78" i="11"/>
  <c r="AX77" i="11"/>
  <c r="AX76" i="11"/>
  <c r="AX75" i="11"/>
  <c r="AX74" i="11"/>
  <c r="AX73" i="11"/>
  <c r="AX72" i="11"/>
  <c r="AX71" i="11"/>
  <c r="AX70" i="11"/>
  <c r="AX69" i="11"/>
  <c r="AX68" i="11"/>
  <c r="AX67" i="11"/>
  <c r="AX66" i="11"/>
  <c r="AX65" i="11"/>
  <c r="AX64" i="11"/>
  <c r="AX63" i="11"/>
  <c r="AX62" i="11"/>
  <c r="AX61" i="11"/>
  <c r="AX60" i="11"/>
  <c r="AX59" i="11"/>
  <c r="AX58" i="11"/>
  <c r="AX57" i="11"/>
  <c r="AX56" i="11"/>
  <c r="AX55" i="11"/>
  <c r="AX54" i="11"/>
  <c r="AX53" i="11"/>
  <c r="AX52" i="11"/>
  <c r="AX51" i="11"/>
  <c r="AX50" i="11"/>
  <c r="AX49" i="11"/>
  <c r="AX48" i="11"/>
  <c r="AX47" i="11"/>
  <c r="AX46" i="11"/>
  <c r="AX45" i="11"/>
  <c r="AX44" i="11"/>
  <c r="AX43" i="11"/>
  <c r="AX42" i="11"/>
  <c r="AX41" i="11"/>
  <c r="AX40" i="11"/>
  <c r="AX39" i="11"/>
  <c r="AX38" i="11"/>
  <c r="AX37" i="11"/>
  <c r="AX36" i="11"/>
  <c r="AX35" i="11"/>
  <c r="AX34" i="11"/>
  <c r="AX33" i="11"/>
  <c r="AX32" i="11"/>
  <c r="AX31" i="11"/>
  <c r="AX30" i="11"/>
  <c r="AX29" i="11"/>
  <c r="AX28" i="11"/>
  <c r="AX27" i="11"/>
  <c r="AX26" i="11"/>
  <c r="AX25" i="11"/>
  <c r="AX24" i="11"/>
  <c r="AX23" i="11"/>
  <c r="AX22" i="11"/>
  <c r="AX21" i="11"/>
  <c r="AX20" i="11"/>
  <c r="AX19" i="11"/>
  <c r="AV18" i="11"/>
  <c r="AX18" i="11" s="1"/>
  <c r="AV17" i="11"/>
  <c r="AV16" i="11" s="1"/>
  <c r="CF93" i="11"/>
  <c r="CF92" i="11"/>
  <c r="CF91" i="11"/>
  <c r="CF90" i="11"/>
  <c r="CF89" i="11"/>
  <c r="CF88" i="11"/>
  <c r="CF87" i="11"/>
  <c r="CF86" i="11"/>
  <c r="CF85" i="11"/>
  <c r="CF84" i="11"/>
  <c r="CF83" i="11"/>
  <c r="CF82" i="11"/>
  <c r="CF81" i="11"/>
  <c r="CF80" i="11"/>
  <c r="CF79" i="11"/>
  <c r="CF78" i="11"/>
  <c r="CF77" i="11"/>
  <c r="CF76" i="11"/>
  <c r="CF75" i="11"/>
  <c r="CF74" i="11"/>
  <c r="CF73" i="11"/>
  <c r="CF72" i="11"/>
  <c r="CF71" i="11"/>
  <c r="CF70" i="11"/>
  <c r="CF69" i="11"/>
  <c r="CF68" i="11"/>
  <c r="CF67" i="11"/>
  <c r="CF66" i="11"/>
  <c r="CF65" i="11"/>
  <c r="CF64" i="11"/>
  <c r="CF63" i="11"/>
  <c r="CF62" i="11"/>
  <c r="CF61" i="11"/>
  <c r="CF60" i="11"/>
  <c r="CF59" i="11"/>
  <c r="CF58" i="11"/>
  <c r="CF57" i="11"/>
  <c r="CF56" i="11"/>
  <c r="CF55" i="11"/>
  <c r="CF54" i="11"/>
  <c r="CF53" i="11"/>
  <c r="CF52" i="11"/>
  <c r="CF51" i="11"/>
  <c r="CF50" i="11"/>
  <c r="CF49" i="11"/>
  <c r="CF48" i="11"/>
  <c r="CF47" i="11"/>
  <c r="CF46" i="11"/>
  <c r="CF45" i="11"/>
  <c r="CF44" i="11"/>
  <c r="CF43" i="11"/>
  <c r="CF42" i="11"/>
  <c r="CF41" i="11"/>
  <c r="CF40" i="11"/>
  <c r="CF39" i="11"/>
  <c r="CF38" i="11"/>
  <c r="CF37" i="11"/>
  <c r="CF36" i="11"/>
  <c r="CF35" i="11"/>
  <c r="CF34" i="11"/>
  <c r="CF33" i="11"/>
  <c r="CF32" i="11"/>
  <c r="CF31" i="11"/>
  <c r="CF30" i="11"/>
  <c r="CF29" i="11"/>
  <c r="CF28" i="11"/>
  <c r="CF27" i="11"/>
  <c r="CF26" i="11"/>
  <c r="CF25" i="11"/>
  <c r="CF24" i="11"/>
  <c r="CF23" i="11"/>
  <c r="CF22" i="11"/>
  <c r="CF21" i="11"/>
  <c r="CF20" i="11"/>
  <c r="CF19" i="11"/>
  <c r="CF18" i="11"/>
  <c r="CF17" i="11"/>
  <c r="CF16" i="11"/>
  <c r="M59" i="1"/>
  <c r="M67" i="1"/>
  <c r="K25" i="1"/>
  <c r="T24" i="1"/>
  <c r="G22" i="3" s="1"/>
  <c r="K39" i="1"/>
  <c r="T38" i="1"/>
  <c r="G36" i="3" s="1"/>
  <c r="K43" i="1"/>
  <c r="T42" i="1"/>
  <c r="G40" i="3" s="1"/>
  <c r="K47" i="1"/>
  <c r="T50" i="1"/>
  <c r="G48" i="3" s="1"/>
  <c r="BL57" i="1"/>
  <c r="BK56" i="1"/>
  <c r="S57" i="1"/>
  <c r="M73" i="1"/>
  <c r="K33" i="1"/>
  <c r="T33" i="1"/>
  <c r="AB95" i="1"/>
  <c r="G100" i="4" s="1"/>
  <c r="K35" i="1"/>
  <c r="T35" i="1"/>
  <c r="G33" i="3" s="1"/>
  <c r="I95" i="1"/>
  <c r="K49" i="1"/>
  <c r="T30" i="1"/>
  <c r="G28" i="3" s="1"/>
  <c r="T37" i="1"/>
  <c r="G35" i="3" s="1"/>
  <c r="T40" i="1"/>
  <c r="G38" i="3" s="1"/>
  <c r="T45" i="1"/>
  <c r="G43" i="3" s="1"/>
  <c r="T48" i="1"/>
  <c r="T53" i="1"/>
  <c r="G51" i="3" s="1"/>
  <c r="R95" i="1"/>
  <c r="CL95" i="1"/>
  <c r="K53" i="1"/>
  <c r="AX17" i="11"/>
  <c r="AA22" i="1"/>
  <c r="AA21" i="1" s="1"/>
  <c r="AD23" i="1"/>
  <c r="AD13" i="1"/>
  <c r="AD12" i="1"/>
  <c r="CE15" i="11"/>
  <c r="CD15" i="11" s="1"/>
  <c r="CE13" i="11"/>
  <c r="X95" i="11"/>
  <c r="W95" i="11"/>
  <c r="V95" i="11"/>
  <c r="T95" i="11"/>
  <c r="Q95" i="11"/>
  <c r="P95" i="11"/>
  <c r="O95" i="11"/>
  <c r="M95" i="11"/>
  <c r="I45" i="14"/>
  <c r="K51" i="13"/>
  <c r="BE95" i="11"/>
  <c r="BD95" i="11"/>
  <c r="BA95" i="11"/>
  <c r="AW95" i="11"/>
  <c r="AT95" i="11"/>
  <c r="AQ95" i="11"/>
  <c r="AP95" i="11"/>
  <c r="AN95" i="11"/>
  <c r="AK95" i="11"/>
  <c r="AJ95" i="11"/>
  <c r="AH95" i="11"/>
  <c r="AE95" i="11"/>
  <c r="AD95" i="11"/>
  <c r="AC95" i="11"/>
  <c r="AA95" i="11"/>
  <c r="H95" i="11"/>
  <c r="G93" i="11"/>
  <c r="F93" i="11"/>
  <c r="E93" i="11"/>
  <c r="G92" i="11"/>
  <c r="F92" i="11"/>
  <c r="E92" i="11"/>
  <c r="G91" i="11"/>
  <c r="F91" i="11"/>
  <c r="E91" i="11"/>
  <c r="G90" i="11"/>
  <c r="F90" i="11"/>
  <c r="E90" i="11"/>
  <c r="G89" i="11"/>
  <c r="I89" i="11" s="1"/>
  <c r="F89" i="11"/>
  <c r="E89" i="11"/>
  <c r="G88" i="11"/>
  <c r="F88" i="11"/>
  <c r="E88" i="11"/>
  <c r="G87" i="11"/>
  <c r="F87" i="11"/>
  <c r="E87" i="11"/>
  <c r="G86" i="11"/>
  <c r="F86" i="11"/>
  <c r="E86" i="11"/>
  <c r="I86" i="11" s="1"/>
  <c r="G85" i="11"/>
  <c r="I85" i="11" s="1"/>
  <c r="F85" i="11"/>
  <c r="E85" i="11"/>
  <c r="G84" i="11"/>
  <c r="F84" i="11"/>
  <c r="E84" i="11"/>
  <c r="G83" i="11"/>
  <c r="F83" i="11"/>
  <c r="E83" i="11"/>
  <c r="G82" i="11"/>
  <c r="F82" i="11"/>
  <c r="E82" i="11"/>
  <c r="I82" i="11" s="1"/>
  <c r="G81" i="11"/>
  <c r="F81" i="11"/>
  <c r="E81" i="11"/>
  <c r="G80" i="11"/>
  <c r="I80" i="11" s="1"/>
  <c r="J81" i="11" s="1"/>
  <c r="F80" i="11"/>
  <c r="E80" i="11"/>
  <c r="G79" i="11"/>
  <c r="F79" i="11"/>
  <c r="E79" i="11"/>
  <c r="G78" i="11"/>
  <c r="F78" i="11"/>
  <c r="E78" i="11"/>
  <c r="I78" i="11" s="1"/>
  <c r="G77" i="11"/>
  <c r="F77" i="11"/>
  <c r="E77" i="11"/>
  <c r="G76" i="11"/>
  <c r="F76" i="11"/>
  <c r="E76" i="11"/>
  <c r="G75" i="11"/>
  <c r="F75" i="11"/>
  <c r="E75" i="11"/>
  <c r="I75" i="11" s="1"/>
  <c r="G74" i="11"/>
  <c r="F74" i="11"/>
  <c r="E74" i="11"/>
  <c r="I74" i="11" s="1"/>
  <c r="G73" i="11"/>
  <c r="E73" i="11"/>
  <c r="G72" i="11"/>
  <c r="E72" i="11"/>
  <c r="G71" i="11"/>
  <c r="E71" i="11"/>
  <c r="G70" i="11"/>
  <c r="E70" i="11"/>
  <c r="G69" i="11"/>
  <c r="E69" i="11"/>
  <c r="G68" i="11"/>
  <c r="E68" i="11"/>
  <c r="G67" i="11"/>
  <c r="E67" i="11"/>
  <c r="G66" i="11"/>
  <c r="E66" i="11"/>
  <c r="G65" i="11"/>
  <c r="E65" i="11"/>
  <c r="G64" i="11"/>
  <c r="E64" i="11"/>
  <c r="G63" i="11"/>
  <c r="E63" i="11"/>
  <c r="G62" i="11"/>
  <c r="E62" i="11"/>
  <c r="G61" i="11"/>
  <c r="E61" i="11"/>
  <c r="G60" i="11"/>
  <c r="E60" i="11"/>
  <c r="G59" i="11"/>
  <c r="E59" i="11"/>
  <c r="G58" i="11"/>
  <c r="E58" i="11"/>
  <c r="G57" i="11"/>
  <c r="E57" i="11"/>
  <c r="G56" i="11"/>
  <c r="E56" i="11"/>
  <c r="G55" i="11"/>
  <c r="E55" i="11"/>
  <c r="G54" i="11"/>
  <c r="E54" i="11"/>
  <c r="G53" i="11"/>
  <c r="E53" i="11"/>
  <c r="G52" i="11"/>
  <c r="E52" i="11"/>
  <c r="G51" i="11"/>
  <c r="E51" i="11"/>
  <c r="G50" i="11"/>
  <c r="E50" i="11"/>
  <c r="G49" i="11"/>
  <c r="E49" i="11"/>
  <c r="G48" i="11"/>
  <c r="E48" i="11"/>
  <c r="G47" i="11"/>
  <c r="E47" i="11"/>
  <c r="G46" i="11"/>
  <c r="E46" i="11"/>
  <c r="G45" i="11"/>
  <c r="E45" i="11"/>
  <c r="G44" i="11"/>
  <c r="E44" i="11"/>
  <c r="G43" i="11"/>
  <c r="E43" i="11"/>
  <c r="G42" i="11"/>
  <c r="E42" i="11"/>
  <c r="G41" i="11"/>
  <c r="E41" i="11"/>
  <c r="G40" i="11"/>
  <c r="E40" i="11"/>
  <c r="G39" i="11"/>
  <c r="E39" i="11"/>
  <c r="G38" i="11"/>
  <c r="E38" i="11"/>
  <c r="G37" i="11"/>
  <c r="E37" i="11"/>
  <c r="G36" i="11"/>
  <c r="E36" i="11"/>
  <c r="G35" i="11"/>
  <c r="E35" i="11"/>
  <c r="G34" i="11"/>
  <c r="E34" i="11"/>
  <c r="E33" i="11"/>
  <c r="G32" i="11"/>
  <c r="E32" i="11"/>
  <c r="G31" i="11"/>
  <c r="E31" i="11"/>
  <c r="G30" i="11"/>
  <c r="E30" i="11"/>
  <c r="G29" i="11"/>
  <c r="E29" i="11"/>
  <c r="G28" i="11"/>
  <c r="E28" i="11"/>
  <c r="E27" i="11"/>
  <c r="G26" i="11"/>
  <c r="E26" i="11"/>
  <c r="G25" i="11"/>
  <c r="E25" i="11"/>
  <c r="G24" i="11"/>
  <c r="E24" i="11"/>
  <c r="E23" i="11"/>
  <c r="G22" i="11"/>
  <c r="E22" i="11"/>
  <c r="E21" i="11"/>
  <c r="E20" i="11"/>
  <c r="E19" i="11"/>
  <c r="G18" i="11"/>
  <c r="E18" i="11"/>
  <c r="E17" i="11"/>
  <c r="G16" i="11"/>
  <c r="E16" i="11"/>
  <c r="E15" i="11"/>
  <c r="G14" i="11"/>
  <c r="E14" i="11"/>
  <c r="E13" i="11"/>
  <c r="G12" i="11"/>
  <c r="E12" i="11"/>
  <c r="DX95" i="11"/>
  <c r="DV95" i="11"/>
  <c r="DQ95" i="11"/>
  <c r="DO95" i="11"/>
  <c r="DL95" i="11"/>
  <c r="DJ95" i="11"/>
  <c r="DH95" i="11"/>
  <c r="DD95" i="11"/>
  <c r="DC95" i="11"/>
  <c r="DA95" i="11"/>
  <c r="CX95" i="11"/>
  <c r="CW95" i="11"/>
  <c r="CU95" i="11"/>
  <c r="CR95" i="11"/>
  <c r="CQ95" i="11"/>
  <c r="CO95" i="11"/>
  <c r="CL95" i="11"/>
  <c r="CK95" i="11"/>
  <c r="CJ95" i="11"/>
  <c r="CI95" i="11"/>
  <c r="CB95" i="11"/>
  <c r="BU95" i="11"/>
  <c r="BO95" i="11"/>
  <c r="BL95" i="11"/>
  <c r="BK95" i="11"/>
  <c r="BJ95" i="11"/>
  <c r="BH95" i="11"/>
  <c r="BR93" i="11"/>
  <c r="BR92" i="11"/>
  <c r="BR91" i="11"/>
  <c r="BR90" i="11"/>
  <c r="BR89" i="11"/>
  <c r="BR88" i="11"/>
  <c r="BR87" i="11"/>
  <c r="BR86" i="11"/>
  <c r="BR85" i="11"/>
  <c r="BR84" i="11"/>
  <c r="BR83" i="11"/>
  <c r="BR82" i="11"/>
  <c r="BR81" i="11"/>
  <c r="BR80" i="11"/>
  <c r="BR79" i="11"/>
  <c r="BR78" i="11"/>
  <c r="BR77" i="11"/>
  <c r="BR76" i="11"/>
  <c r="BR75" i="11"/>
  <c r="BR74" i="11"/>
  <c r="BQ73" i="11"/>
  <c r="BY93" i="11"/>
  <c r="BY92" i="11"/>
  <c r="BY91" i="11"/>
  <c r="BY90" i="11"/>
  <c r="BY89" i="11"/>
  <c r="BY88" i="11"/>
  <c r="BY87" i="11"/>
  <c r="BY86" i="11"/>
  <c r="BY85" i="11"/>
  <c r="BY84" i="11"/>
  <c r="BY83" i="11"/>
  <c r="BY82" i="11"/>
  <c r="BY81" i="11"/>
  <c r="BY80" i="11"/>
  <c r="BY79" i="11"/>
  <c r="BY78" i="11"/>
  <c r="BY77" i="11"/>
  <c r="BY76" i="11"/>
  <c r="BY75" i="11"/>
  <c r="BY74" i="11"/>
  <c r="BY73" i="11"/>
  <c r="BY72" i="11"/>
  <c r="BY71" i="11"/>
  <c r="BY70" i="11"/>
  <c r="BY69" i="11"/>
  <c r="BY68" i="11"/>
  <c r="BY67" i="11"/>
  <c r="BY66" i="11"/>
  <c r="BY65" i="11"/>
  <c r="BY64" i="11"/>
  <c r="BY63" i="11"/>
  <c r="BY62" i="11"/>
  <c r="BY61" i="11"/>
  <c r="BY60" i="11"/>
  <c r="BY59" i="11"/>
  <c r="BY58" i="11"/>
  <c r="BY57" i="11"/>
  <c r="BY56" i="11"/>
  <c r="BY55" i="11"/>
  <c r="BY54" i="11"/>
  <c r="BY53" i="11"/>
  <c r="BY52" i="11"/>
  <c r="BY51" i="11"/>
  <c r="BY50" i="11"/>
  <c r="BY49" i="11"/>
  <c r="BY48" i="11"/>
  <c r="BY47" i="11"/>
  <c r="BY46" i="11"/>
  <c r="BY45" i="11"/>
  <c r="BY44" i="11"/>
  <c r="BY43" i="11"/>
  <c r="BY42" i="11"/>
  <c r="BY41" i="11"/>
  <c r="BY40" i="11"/>
  <c r="BY39" i="11"/>
  <c r="BY38" i="11"/>
  <c r="BY37" i="11"/>
  <c r="BY36" i="11"/>
  <c r="BY35" i="11"/>
  <c r="BY34" i="11"/>
  <c r="BY32" i="11"/>
  <c r="BY31" i="11"/>
  <c r="BY30" i="11"/>
  <c r="BY29" i="11"/>
  <c r="BY28" i="11"/>
  <c r="G20" i="11"/>
  <c r="G23" i="11"/>
  <c r="G21" i="11"/>
  <c r="G17" i="11"/>
  <c r="DK95" i="11"/>
  <c r="DR95" i="11"/>
  <c r="K53" i="9"/>
  <c r="I53" i="9"/>
  <c r="G53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1" i="9"/>
  <c r="M10" i="9"/>
  <c r="E53" i="9"/>
  <c r="H30" i="8"/>
  <c r="H33" i="8" s="1"/>
  <c r="K49" i="14"/>
  <c r="K54" i="14" s="1"/>
  <c r="M53" i="9"/>
  <c r="I87" i="11"/>
  <c r="J87" i="11" s="1"/>
  <c r="I77" i="11"/>
  <c r="I81" i="11"/>
  <c r="I93" i="11"/>
  <c r="I90" i="11"/>
  <c r="I88" i="11"/>
  <c r="J89" i="11" s="1"/>
  <c r="BX95" i="11"/>
  <c r="G27" i="11"/>
  <c r="G19" i="11"/>
  <c r="BY33" i="11"/>
  <c r="G33" i="11"/>
  <c r="I51" i="13"/>
  <c r="BY27" i="11"/>
  <c r="BY26" i="11"/>
  <c r="BY25" i="11"/>
  <c r="BY24" i="11"/>
  <c r="BY23" i="11"/>
  <c r="BY22" i="11"/>
  <c r="BY21" i="11"/>
  <c r="BY20" i="11"/>
  <c r="BY19" i="11"/>
  <c r="BY18" i="11"/>
  <c r="BY17" i="11"/>
  <c r="BY16" i="11"/>
  <c r="BY15" i="11"/>
  <c r="BY14" i="11"/>
  <c r="BY13" i="11"/>
  <c r="BY12" i="11"/>
  <c r="BW95" i="11"/>
  <c r="DY95" i="11"/>
  <c r="DZ95" i="11"/>
  <c r="A96" i="4" l="1"/>
  <c r="A96" i="3"/>
  <c r="AA20" i="1"/>
  <c r="AD21" i="1"/>
  <c r="E95" i="11"/>
  <c r="J75" i="11"/>
  <c r="BY95" i="11"/>
  <c r="F73" i="11"/>
  <c r="I73" i="11" s="1"/>
  <c r="BR73" i="11"/>
  <c r="BQ72" i="11"/>
  <c r="CD14" i="11"/>
  <c r="CF14" i="11" s="1"/>
  <c r="CF15" i="11"/>
  <c r="BL56" i="1"/>
  <c r="BK55" i="1"/>
  <c r="J57" i="1"/>
  <c r="M57" i="1" s="1"/>
  <c r="S56" i="1"/>
  <c r="D12" i="16"/>
  <c r="D18" i="16" s="1"/>
  <c r="D31" i="16" s="1"/>
  <c r="L10" i="16"/>
  <c r="L12" i="16" s="1"/>
  <c r="L18" i="16" s="1"/>
  <c r="L31" i="16" s="1"/>
  <c r="L38" i="16" s="1"/>
  <c r="L40" i="16"/>
  <c r="M33" i="16"/>
  <c r="G46" i="3"/>
  <c r="G46" i="4"/>
  <c r="G15" i="11"/>
  <c r="AD22" i="1"/>
  <c r="T26" i="1"/>
  <c r="K27" i="1"/>
  <c r="T41" i="1"/>
  <c r="K41" i="1"/>
  <c r="AD53" i="1"/>
  <c r="AA52" i="1"/>
  <c r="CX18" i="1"/>
  <c r="CZ19" i="1"/>
  <c r="G59" i="3"/>
  <c r="V61" i="1"/>
  <c r="G59" i="4"/>
  <c r="E64" i="3"/>
  <c r="E64" i="4"/>
  <c r="C69" i="3"/>
  <c r="V71" i="1"/>
  <c r="C69" i="4"/>
  <c r="I70" i="3"/>
  <c r="I70" i="4"/>
  <c r="G75" i="3"/>
  <c r="G75" i="4"/>
  <c r="V77" i="1"/>
  <c r="E80" i="3"/>
  <c r="E80" i="4"/>
  <c r="C85" i="3"/>
  <c r="V87" i="1"/>
  <c r="C85" i="4"/>
  <c r="I86" i="3"/>
  <c r="I86" i="4"/>
  <c r="G91" i="3"/>
  <c r="G91" i="4"/>
  <c r="V93" i="1"/>
  <c r="G28" i="4"/>
  <c r="I76" i="11"/>
  <c r="J77" i="11" s="1"/>
  <c r="I79" i="11"/>
  <c r="J79" i="11" s="1"/>
  <c r="I83" i="11"/>
  <c r="J83" i="11" s="1"/>
  <c r="I84" i="11"/>
  <c r="J85" i="11" s="1"/>
  <c r="I91" i="11"/>
  <c r="J91" i="11" s="1"/>
  <c r="I92" i="11"/>
  <c r="J93" i="11" s="1"/>
  <c r="CE95" i="11"/>
  <c r="G13" i="11"/>
  <c r="G95" i="11" s="1"/>
  <c r="CD13" i="11"/>
  <c r="G31" i="3"/>
  <c r="G31" i="4"/>
  <c r="AX16" i="11"/>
  <c r="AV15" i="11"/>
  <c r="G37" i="3"/>
  <c r="G37" i="4"/>
  <c r="T51" i="1"/>
  <c r="K51" i="1"/>
  <c r="AA51" i="1"/>
  <c r="ET95" i="1"/>
  <c r="C57" i="3"/>
  <c r="K57" i="3" s="1"/>
  <c r="V59" i="1"/>
  <c r="C57" i="4"/>
  <c r="I58" i="3"/>
  <c r="I58" i="4"/>
  <c r="G63" i="3"/>
  <c r="K63" i="3" s="1"/>
  <c r="V65" i="1"/>
  <c r="E68" i="3"/>
  <c r="E68" i="4"/>
  <c r="C73" i="3"/>
  <c r="V75" i="1"/>
  <c r="C73" i="4"/>
  <c r="I74" i="3"/>
  <c r="I74" i="4"/>
  <c r="G79" i="3"/>
  <c r="G79" i="4"/>
  <c r="V81" i="1"/>
  <c r="E84" i="3"/>
  <c r="E84" i="4"/>
  <c r="V86" i="1"/>
  <c r="C89" i="3"/>
  <c r="V91" i="1"/>
  <c r="C89" i="4"/>
  <c r="I90" i="3"/>
  <c r="I90" i="4"/>
  <c r="G25" i="4"/>
  <c r="G33" i="4"/>
  <c r="G41" i="4"/>
  <c r="C45" i="3"/>
  <c r="T36" i="1"/>
  <c r="K37" i="1"/>
  <c r="K95" i="1" s="1"/>
  <c r="E56" i="3"/>
  <c r="E56" i="4"/>
  <c r="C61" i="3"/>
  <c r="K61" i="3" s="1"/>
  <c r="V63" i="1"/>
  <c r="C61" i="4"/>
  <c r="I62" i="3"/>
  <c r="K62" i="3" s="1"/>
  <c r="I62" i="4"/>
  <c r="G67" i="3"/>
  <c r="G67" i="4"/>
  <c r="V69" i="1"/>
  <c r="E72" i="3"/>
  <c r="E72" i="4"/>
  <c r="C77" i="3"/>
  <c r="V79" i="1"/>
  <c r="C77" i="4"/>
  <c r="I78" i="3"/>
  <c r="I78" i="4"/>
  <c r="G83" i="3"/>
  <c r="G83" i="4"/>
  <c r="V85" i="1"/>
  <c r="E88" i="3"/>
  <c r="E88" i="4"/>
  <c r="V90" i="1"/>
  <c r="G10" i="4"/>
  <c r="G42" i="4"/>
  <c r="E55" i="3"/>
  <c r="E55" i="4"/>
  <c r="V57" i="1"/>
  <c r="C11" i="3"/>
  <c r="C11" i="4"/>
  <c r="I12" i="3"/>
  <c r="U95" i="1"/>
  <c r="I12" i="4"/>
  <c r="C14" i="3"/>
  <c r="C14" i="4"/>
  <c r="I16" i="3"/>
  <c r="I16" i="4"/>
  <c r="C18" i="3"/>
  <c r="C18" i="4"/>
  <c r="I20" i="3"/>
  <c r="I20" i="4"/>
  <c r="C22" i="3"/>
  <c r="C22" i="4"/>
  <c r="I23" i="3"/>
  <c r="I23" i="4"/>
  <c r="C27" i="3"/>
  <c r="C27" i="4"/>
  <c r="I28" i="3"/>
  <c r="I28" i="4"/>
  <c r="C30" i="3"/>
  <c r="C30" i="4"/>
  <c r="I31" i="3"/>
  <c r="I31" i="4"/>
  <c r="C33" i="3"/>
  <c r="C33" i="4"/>
  <c r="C35" i="3"/>
  <c r="C35" i="4"/>
  <c r="C37" i="3"/>
  <c r="C37" i="4"/>
  <c r="C39" i="3"/>
  <c r="C39" i="4"/>
  <c r="C41" i="3"/>
  <c r="C41" i="4"/>
  <c r="C43" i="3"/>
  <c r="C43" i="4"/>
  <c r="C47" i="3"/>
  <c r="C47" i="4"/>
  <c r="C49" i="3"/>
  <c r="C49" i="4"/>
  <c r="C51" i="3"/>
  <c r="C51" i="4"/>
  <c r="I52" i="3"/>
  <c r="I52" i="4"/>
  <c r="C54" i="3"/>
  <c r="C54" i="4"/>
  <c r="E60" i="3"/>
  <c r="E60" i="4"/>
  <c r="C65" i="3"/>
  <c r="K65" i="3" s="1"/>
  <c r="V67" i="1"/>
  <c r="C65" i="4"/>
  <c r="I66" i="3"/>
  <c r="K66" i="3" s="1"/>
  <c r="M67" i="3" s="1"/>
  <c r="I66" i="4"/>
  <c r="G71" i="3"/>
  <c r="G71" i="4"/>
  <c r="V73" i="1"/>
  <c r="E76" i="3"/>
  <c r="E76" i="4"/>
  <c r="C81" i="3"/>
  <c r="V83" i="1"/>
  <c r="C81" i="4"/>
  <c r="I82" i="3"/>
  <c r="I82" i="4"/>
  <c r="G87" i="3"/>
  <c r="G87" i="4"/>
  <c r="V89" i="1"/>
  <c r="G15" i="4"/>
  <c r="G19" i="4"/>
  <c r="G43" i="4"/>
  <c r="G47" i="4"/>
  <c r="G55" i="4"/>
  <c r="G63" i="4"/>
  <c r="G68" i="3"/>
  <c r="G68" i="4"/>
  <c r="E69" i="3"/>
  <c r="E69" i="4"/>
  <c r="I71" i="3"/>
  <c r="I71" i="4"/>
  <c r="G72" i="3"/>
  <c r="G72" i="4"/>
  <c r="E73" i="3"/>
  <c r="E73" i="4"/>
  <c r="I75" i="3"/>
  <c r="I75" i="4"/>
  <c r="G76" i="3"/>
  <c r="G76" i="4"/>
  <c r="E77" i="3"/>
  <c r="E77" i="4"/>
  <c r="I79" i="3"/>
  <c r="I79" i="4"/>
  <c r="G80" i="3"/>
  <c r="G80" i="4"/>
  <c r="E81" i="3"/>
  <c r="E81" i="4"/>
  <c r="I83" i="3"/>
  <c r="I83" i="4"/>
  <c r="G84" i="3"/>
  <c r="G84" i="4"/>
  <c r="E85" i="3"/>
  <c r="E85" i="4"/>
  <c r="I87" i="3"/>
  <c r="I87" i="4"/>
  <c r="G88" i="3"/>
  <c r="G88" i="4"/>
  <c r="E89" i="3"/>
  <c r="E89" i="4"/>
  <c r="I91" i="3"/>
  <c r="I91" i="4"/>
  <c r="I10" i="4"/>
  <c r="I11" i="4"/>
  <c r="I13" i="4"/>
  <c r="I14" i="4"/>
  <c r="I15" i="4"/>
  <c r="I17" i="4"/>
  <c r="I18" i="4"/>
  <c r="I19" i="4"/>
  <c r="I21" i="4"/>
  <c r="I22" i="4"/>
  <c r="I24" i="4"/>
  <c r="I25" i="4"/>
  <c r="I26" i="4"/>
  <c r="I29" i="4"/>
  <c r="I30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3" i="4"/>
  <c r="I54" i="4"/>
  <c r="I55" i="4"/>
  <c r="I57" i="4"/>
  <c r="I59" i="4"/>
  <c r="I60" i="4"/>
  <c r="I61" i="4"/>
  <c r="I63" i="4"/>
  <c r="I64" i="4"/>
  <c r="I65" i="4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C29" i="3"/>
  <c r="E58" i="3"/>
  <c r="K58" i="3" s="1"/>
  <c r="M59" i="3" s="1"/>
  <c r="G70" i="3"/>
  <c r="V58" i="1"/>
  <c r="K59" i="3"/>
  <c r="V62" i="1"/>
  <c r="V66" i="1"/>
  <c r="V70" i="1"/>
  <c r="I68" i="3"/>
  <c r="I68" i="4"/>
  <c r="G69" i="3"/>
  <c r="G69" i="4"/>
  <c r="E70" i="3"/>
  <c r="K70" i="3" s="1"/>
  <c r="E70" i="4"/>
  <c r="V74" i="1"/>
  <c r="I72" i="3"/>
  <c r="K72" i="3" s="1"/>
  <c r="I72" i="4"/>
  <c r="G73" i="3"/>
  <c r="G73" i="4"/>
  <c r="E74" i="3"/>
  <c r="K74" i="3" s="1"/>
  <c r="E74" i="4"/>
  <c r="V78" i="1"/>
  <c r="I76" i="3"/>
  <c r="I76" i="4"/>
  <c r="G77" i="3"/>
  <c r="G77" i="4"/>
  <c r="V82" i="1"/>
  <c r="I80" i="3"/>
  <c r="I80" i="4"/>
  <c r="G81" i="3"/>
  <c r="G81" i="4"/>
  <c r="E82" i="3"/>
  <c r="K82" i="3" s="1"/>
  <c r="E82" i="4"/>
  <c r="I84" i="3"/>
  <c r="I84" i="4"/>
  <c r="G85" i="3"/>
  <c r="G85" i="4"/>
  <c r="I88" i="3"/>
  <c r="I88" i="4"/>
  <c r="G89" i="3"/>
  <c r="G89" i="4"/>
  <c r="E90" i="3"/>
  <c r="K90" i="3" s="1"/>
  <c r="M91" i="3" s="1"/>
  <c r="E90" i="4"/>
  <c r="C12" i="4"/>
  <c r="C13" i="4"/>
  <c r="C16" i="4"/>
  <c r="C17" i="4"/>
  <c r="C19" i="4"/>
  <c r="C20" i="4"/>
  <c r="C21" i="4"/>
  <c r="C23" i="4"/>
  <c r="C24" i="4"/>
  <c r="C25" i="4"/>
  <c r="C26" i="4"/>
  <c r="C28" i="4"/>
  <c r="C31" i="4"/>
  <c r="C32" i="4"/>
  <c r="C34" i="4"/>
  <c r="C36" i="4"/>
  <c r="C38" i="4"/>
  <c r="C40" i="4"/>
  <c r="C42" i="4"/>
  <c r="C44" i="4"/>
  <c r="C46" i="4"/>
  <c r="C48" i="4"/>
  <c r="C50" i="4"/>
  <c r="C52" i="4"/>
  <c r="C53" i="4"/>
  <c r="C55" i="4"/>
  <c r="K55" i="4" s="1"/>
  <c r="C56" i="4"/>
  <c r="K56" i="4" s="1"/>
  <c r="C58" i="4"/>
  <c r="K58" i="4" s="1"/>
  <c r="C59" i="4"/>
  <c r="K59" i="4" s="1"/>
  <c r="C60" i="4"/>
  <c r="K60" i="4" s="1"/>
  <c r="C62" i="4"/>
  <c r="C63" i="4"/>
  <c r="C64" i="4"/>
  <c r="K64" i="4" s="1"/>
  <c r="C67" i="4"/>
  <c r="C70" i="4"/>
  <c r="C74" i="4"/>
  <c r="C78" i="4"/>
  <c r="C82" i="4"/>
  <c r="C86" i="4"/>
  <c r="C90" i="4"/>
  <c r="E78" i="3"/>
  <c r="K78" i="3" s="1"/>
  <c r="M79" i="3" s="1"/>
  <c r="K55" i="3"/>
  <c r="K56" i="3"/>
  <c r="M57" i="3" s="1"/>
  <c r="K60" i="3"/>
  <c r="M61" i="3" s="1"/>
  <c r="K64" i="3"/>
  <c r="M65" i="3" s="1"/>
  <c r="E67" i="3"/>
  <c r="K67" i="3" s="1"/>
  <c r="E67" i="4"/>
  <c r="I69" i="3"/>
  <c r="I69" i="4"/>
  <c r="E71" i="3"/>
  <c r="K71" i="3" s="1"/>
  <c r="E71" i="4"/>
  <c r="I73" i="3"/>
  <c r="I73" i="4"/>
  <c r="G74" i="3"/>
  <c r="G74" i="4"/>
  <c r="E75" i="3"/>
  <c r="K75" i="3" s="1"/>
  <c r="E75" i="4"/>
  <c r="I77" i="3"/>
  <c r="I77" i="4"/>
  <c r="G78" i="3"/>
  <c r="G78" i="4"/>
  <c r="E79" i="3"/>
  <c r="K79" i="3" s="1"/>
  <c r="E79" i="4"/>
  <c r="I81" i="3"/>
  <c r="I81" i="4"/>
  <c r="G82" i="3"/>
  <c r="G82" i="4"/>
  <c r="E83" i="3"/>
  <c r="K83" i="3" s="1"/>
  <c r="E83" i="4"/>
  <c r="I85" i="3"/>
  <c r="I85" i="4"/>
  <c r="G86" i="3"/>
  <c r="G86" i="4"/>
  <c r="E87" i="3"/>
  <c r="K87" i="3" s="1"/>
  <c r="E87" i="4"/>
  <c r="K88" i="3"/>
  <c r="I89" i="3"/>
  <c r="I89" i="4"/>
  <c r="G90" i="3"/>
  <c r="G90" i="4"/>
  <c r="E91" i="3"/>
  <c r="K91" i="3" s="1"/>
  <c r="E91" i="4"/>
  <c r="E57" i="4"/>
  <c r="E59" i="4"/>
  <c r="E61" i="4"/>
  <c r="E62" i="4"/>
  <c r="E63" i="4"/>
  <c r="E65" i="4"/>
  <c r="E66" i="4"/>
  <c r="K66" i="4" s="1"/>
  <c r="I67" i="4"/>
  <c r="C71" i="4"/>
  <c r="C75" i="4"/>
  <c r="C79" i="4"/>
  <c r="K79" i="4" s="1"/>
  <c r="C83" i="4"/>
  <c r="C87" i="4"/>
  <c r="C91" i="4"/>
  <c r="E86" i="3"/>
  <c r="K86" i="3" s="1"/>
  <c r="M87" i="3" s="1"/>
  <c r="J18" i="16"/>
  <c r="M12" i="16"/>
  <c r="M34" i="16"/>
  <c r="L41" i="16"/>
  <c r="M41" i="16" s="1"/>
  <c r="A15" i="1"/>
  <c r="G11" i="15"/>
  <c r="G147" i="15"/>
  <c r="G182" i="15"/>
  <c r="D33" i="16"/>
  <c r="K91" i="4" l="1"/>
  <c r="K63" i="4"/>
  <c r="K88" i="4"/>
  <c r="K72" i="4"/>
  <c r="K87" i="4"/>
  <c r="K71" i="4"/>
  <c r="K70" i="4"/>
  <c r="K80" i="4"/>
  <c r="K78" i="4"/>
  <c r="M79" i="4" s="1"/>
  <c r="M71" i="3"/>
  <c r="K75" i="4"/>
  <c r="K90" i="4"/>
  <c r="M91" i="4" s="1"/>
  <c r="M59" i="4"/>
  <c r="M83" i="3"/>
  <c r="A16" i="1"/>
  <c r="J31" i="16"/>
  <c r="M18" i="16"/>
  <c r="K83" i="4"/>
  <c r="K82" i="4"/>
  <c r="K67" i="4"/>
  <c r="M67" i="4" s="1"/>
  <c r="K81" i="4"/>
  <c r="K76" i="3"/>
  <c r="I93" i="3"/>
  <c r="I101" i="4" s="1"/>
  <c r="K89" i="3"/>
  <c r="M89" i="3" s="1"/>
  <c r="K68" i="4"/>
  <c r="K85" i="3"/>
  <c r="K69" i="4"/>
  <c r="C93" i="4"/>
  <c r="K77" i="4"/>
  <c r="K73" i="4"/>
  <c r="K68" i="3"/>
  <c r="AA50" i="1"/>
  <c r="AD51" i="1"/>
  <c r="G24" i="3"/>
  <c r="T95" i="1"/>
  <c r="G24" i="4"/>
  <c r="E54" i="3"/>
  <c r="K54" i="3" s="1"/>
  <c r="M55" i="3" s="1"/>
  <c r="E54" i="4"/>
  <c r="V56" i="1"/>
  <c r="K81" i="3"/>
  <c r="K65" i="4"/>
  <c r="C93" i="3"/>
  <c r="C101" i="4" s="1"/>
  <c r="M63" i="3"/>
  <c r="K89" i="4"/>
  <c r="M89" i="4" s="1"/>
  <c r="K84" i="4"/>
  <c r="K57" i="4"/>
  <c r="M57" i="4" s="1"/>
  <c r="AX15" i="11"/>
  <c r="AV14" i="11"/>
  <c r="CD12" i="11"/>
  <c r="CF13" i="11"/>
  <c r="K85" i="4"/>
  <c r="K80" i="3"/>
  <c r="K69" i="3"/>
  <c r="CX17" i="1"/>
  <c r="CZ18" i="1"/>
  <c r="AD52" i="1"/>
  <c r="G39" i="3"/>
  <c r="G39" i="4"/>
  <c r="M65" i="4"/>
  <c r="K74" i="4"/>
  <c r="M75" i="4" s="1"/>
  <c r="M75" i="3"/>
  <c r="K86" i="4"/>
  <c r="M87" i="4" s="1"/>
  <c r="M71" i="4"/>
  <c r="K62" i="4"/>
  <c r="M63" i="4" s="1"/>
  <c r="I93" i="4"/>
  <c r="K76" i="4"/>
  <c r="M77" i="4" s="1"/>
  <c r="K54" i="4"/>
  <c r="M55" i="4" s="1"/>
  <c r="K77" i="3"/>
  <c r="K61" i="4"/>
  <c r="M61" i="4" s="1"/>
  <c r="G34" i="3"/>
  <c r="G34" i="4"/>
  <c r="K84" i="3"/>
  <c r="M85" i="3" s="1"/>
  <c r="K73" i="3"/>
  <c r="M73" i="3" s="1"/>
  <c r="G49" i="3"/>
  <c r="G49" i="4"/>
  <c r="M40" i="16"/>
  <c r="S55" i="1"/>
  <c r="BK54" i="1"/>
  <c r="BL55" i="1"/>
  <c r="F72" i="11"/>
  <c r="I72" i="11" s="1"/>
  <c r="J73" i="11" s="1"/>
  <c r="BQ71" i="11"/>
  <c r="BR72" i="11"/>
  <c r="AA19" i="1"/>
  <c r="AD20" i="1"/>
  <c r="G93" i="4" l="1"/>
  <c r="I102" i="4"/>
  <c r="M73" i="4"/>
  <c r="M69" i="4"/>
  <c r="M81" i="4"/>
  <c r="CZ17" i="1"/>
  <c r="CX16" i="1"/>
  <c r="M77" i="3"/>
  <c r="BL54" i="1"/>
  <c r="BK53" i="1"/>
  <c r="S54" i="1"/>
  <c r="J55" i="1"/>
  <c r="M55" i="1" s="1"/>
  <c r="CF12" i="11"/>
  <c r="CF95" i="11" s="1"/>
  <c r="CD95" i="11"/>
  <c r="BQ70" i="11"/>
  <c r="F71" i="11"/>
  <c r="I71" i="11" s="1"/>
  <c r="BR71" i="11"/>
  <c r="E53" i="3"/>
  <c r="K53" i="3" s="1"/>
  <c r="E53" i="4"/>
  <c r="K53" i="4" s="1"/>
  <c r="V55" i="1"/>
  <c r="M81" i="3"/>
  <c r="M85" i="4"/>
  <c r="AA49" i="1"/>
  <c r="AD50" i="1"/>
  <c r="M31" i="16"/>
  <c r="J38" i="16"/>
  <c r="AD19" i="1"/>
  <c r="AA18" i="1"/>
  <c r="AV13" i="11"/>
  <c r="AX14" i="11"/>
  <c r="G93" i="3"/>
  <c r="G101" i="4" s="1"/>
  <c r="G102" i="4" s="1"/>
  <c r="M69" i="3"/>
  <c r="C102" i="4"/>
  <c r="M83" i="4"/>
  <c r="A17" i="1"/>
  <c r="AV12" i="11" l="1"/>
  <c r="AX13" i="11"/>
  <c r="AD49" i="1"/>
  <c r="AA48" i="1"/>
  <c r="BQ69" i="11"/>
  <c r="F70" i="11"/>
  <c r="I70" i="11" s="1"/>
  <c r="J71" i="11" s="1"/>
  <c r="BR70" i="11"/>
  <c r="E52" i="4"/>
  <c r="K52" i="4" s="1"/>
  <c r="M53" i="4" s="1"/>
  <c r="V54" i="1"/>
  <c r="E52" i="3"/>
  <c r="K52" i="3" s="1"/>
  <c r="M53" i="3" s="1"/>
  <c r="CZ16" i="1"/>
  <c r="CX15" i="1"/>
  <c r="AD18" i="1"/>
  <c r="AA17" i="1"/>
  <c r="BK52" i="1"/>
  <c r="BL53" i="1"/>
  <c r="S53" i="1"/>
  <c r="A18" i="1"/>
  <c r="A19" i="1" l="1"/>
  <c r="BL52" i="1"/>
  <c r="BK51" i="1"/>
  <c r="S52" i="1"/>
  <c r="J53" i="1"/>
  <c r="M53" i="1" s="1"/>
  <c r="F69" i="11"/>
  <c r="I69" i="11" s="1"/>
  <c r="BR69" i="11"/>
  <c r="BQ68" i="11"/>
  <c r="CX14" i="1"/>
  <c r="CZ15" i="1"/>
  <c r="AA47" i="1"/>
  <c r="AD48" i="1"/>
  <c r="E51" i="3"/>
  <c r="K51" i="3" s="1"/>
  <c r="E51" i="4"/>
  <c r="K51" i="4" s="1"/>
  <c r="V53" i="1"/>
  <c r="AA16" i="1"/>
  <c r="AD17" i="1"/>
  <c r="AX12" i="11"/>
  <c r="AX95" i="11" s="1"/>
  <c r="AV95" i="11"/>
  <c r="AD16" i="1" l="1"/>
  <c r="AA15" i="1"/>
  <c r="CX13" i="1"/>
  <c r="CZ14" i="1"/>
  <c r="AA46" i="1"/>
  <c r="AD47" i="1"/>
  <c r="BQ67" i="11"/>
  <c r="F68" i="11"/>
  <c r="I68" i="11" s="1"/>
  <c r="J69" i="11" s="1"/>
  <c r="BR68" i="11"/>
  <c r="E50" i="3"/>
  <c r="K50" i="3" s="1"/>
  <c r="M51" i="3" s="1"/>
  <c r="E50" i="4"/>
  <c r="K50" i="4" s="1"/>
  <c r="M51" i="4" s="1"/>
  <c r="V52" i="1"/>
  <c r="BK50" i="1"/>
  <c r="BL51" i="1"/>
  <c r="S51" i="1"/>
  <c r="A20" i="1"/>
  <c r="BK49" i="1" l="1"/>
  <c r="BL50" i="1"/>
  <c r="J51" i="1"/>
  <c r="M51" i="1" s="1"/>
  <c r="S50" i="1"/>
  <c r="AA45" i="1"/>
  <c r="AD46" i="1"/>
  <c r="AA14" i="1"/>
  <c r="AD15" i="1"/>
  <c r="E49" i="3"/>
  <c r="K49" i="3" s="1"/>
  <c r="E49" i="4"/>
  <c r="K49" i="4" s="1"/>
  <c r="V51" i="1"/>
  <c r="BQ66" i="11"/>
  <c r="BR67" i="11"/>
  <c r="F67" i="11"/>
  <c r="I67" i="11" s="1"/>
  <c r="A21" i="1"/>
  <c r="CZ13" i="1"/>
  <c r="CX12" i="1"/>
  <c r="E48" i="3" l="1"/>
  <c r="K48" i="3" s="1"/>
  <c r="M49" i="3" s="1"/>
  <c r="E48" i="4"/>
  <c r="K48" i="4" s="1"/>
  <c r="M49" i="4" s="1"/>
  <c r="V50" i="1"/>
  <c r="BR66" i="11"/>
  <c r="F66" i="11"/>
  <c r="I66" i="11" s="1"/>
  <c r="J67" i="11" s="1"/>
  <c r="BQ65" i="11"/>
  <c r="CX95" i="1"/>
  <c r="CZ12" i="1"/>
  <c r="CZ95" i="1" s="1"/>
  <c r="A22" i="1"/>
  <c r="AD14" i="1"/>
  <c r="AA44" i="1"/>
  <c r="AD45" i="1"/>
  <c r="BK48" i="1"/>
  <c r="BL49" i="1"/>
  <c r="S49" i="1"/>
  <c r="A23" i="1" l="1"/>
  <c r="E47" i="3"/>
  <c r="K47" i="3" s="1"/>
  <c r="E47" i="4"/>
  <c r="K47" i="4" s="1"/>
  <c r="V49" i="1"/>
  <c r="AA43" i="1"/>
  <c r="AD44" i="1"/>
  <c r="BK47" i="1"/>
  <c r="BL48" i="1"/>
  <c r="S48" i="1"/>
  <c r="J49" i="1"/>
  <c r="M49" i="1" s="1"/>
  <c r="BQ64" i="11"/>
  <c r="BR65" i="11"/>
  <c r="F65" i="11"/>
  <c r="I65" i="11" s="1"/>
  <c r="F64" i="11" l="1"/>
  <c r="I64" i="11" s="1"/>
  <c r="J65" i="11" s="1"/>
  <c r="BR64" i="11"/>
  <c r="BQ63" i="11"/>
  <c r="AA42" i="1"/>
  <c r="AD43" i="1"/>
  <c r="BK46" i="1"/>
  <c r="BL47" i="1"/>
  <c r="S47" i="1"/>
  <c r="E46" i="3"/>
  <c r="K46" i="3" s="1"/>
  <c r="M47" i="3" s="1"/>
  <c r="E46" i="4"/>
  <c r="K46" i="4" s="1"/>
  <c r="M47" i="4" s="1"/>
  <c r="V48" i="1"/>
  <c r="A24" i="1"/>
  <c r="AD42" i="1" l="1"/>
  <c r="AA41" i="1"/>
  <c r="BK45" i="1"/>
  <c r="BL46" i="1"/>
  <c r="J47" i="1"/>
  <c r="M47" i="1" s="1"/>
  <c r="S46" i="1"/>
  <c r="BR63" i="11"/>
  <c r="F63" i="11"/>
  <c r="I63" i="11" s="1"/>
  <c r="BQ62" i="11"/>
  <c r="A25" i="1"/>
  <c r="E45" i="3"/>
  <c r="K45" i="3" s="1"/>
  <c r="E45" i="4"/>
  <c r="K45" i="4" s="1"/>
  <c r="V47" i="1"/>
  <c r="E44" i="3" l="1"/>
  <c r="K44" i="3" s="1"/>
  <c r="M45" i="3" s="1"/>
  <c r="E44" i="4"/>
  <c r="K44" i="4" s="1"/>
  <c r="M45" i="4" s="1"/>
  <c r="V46" i="1"/>
  <c r="AA40" i="1"/>
  <c r="AD41" i="1"/>
  <c r="F62" i="11"/>
  <c r="I62" i="11" s="1"/>
  <c r="J63" i="11" s="1"/>
  <c r="BR62" i="11"/>
  <c r="BQ61" i="11"/>
  <c r="A26" i="1"/>
  <c r="BK44" i="1"/>
  <c r="BL45" i="1"/>
  <c r="S45" i="1"/>
  <c r="A27" i="1" l="1"/>
  <c r="E43" i="3"/>
  <c r="K43" i="3" s="1"/>
  <c r="E43" i="4"/>
  <c r="K43" i="4" s="1"/>
  <c r="V45" i="1"/>
  <c r="BK43" i="1"/>
  <c r="BL44" i="1"/>
  <c r="J45" i="1"/>
  <c r="M45" i="1" s="1"/>
  <c r="S44" i="1"/>
  <c r="F61" i="11"/>
  <c r="I61" i="11" s="1"/>
  <c r="BR61" i="11"/>
  <c r="BQ60" i="11"/>
  <c r="AA39" i="1"/>
  <c r="AD40" i="1"/>
  <c r="BK42" i="1" l="1"/>
  <c r="BL43" i="1"/>
  <c r="S43" i="1"/>
  <c r="E42" i="3"/>
  <c r="K42" i="3" s="1"/>
  <c r="M43" i="3" s="1"/>
  <c r="E42" i="4"/>
  <c r="K42" i="4" s="1"/>
  <c r="M43" i="4" s="1"/>
  <c r="V44" i="1"/>
  <c r="AA38" i="1"/>
  <c r="AD39" i="1"/>
  <c r="F60" i="11"/>
  <c r="I60" i="11" s="1"/>
  <c r="J61" i="11" s="1"/>
  <c r="BQ59" i="11"/>
  <c r="BR60" i="11"/>
  <c r="A28" i="1"/>
  <c r="A29" i="1" l="1"/>
  <c r="BR59" i="11"/>
  <c r="F59" i="11"/>
  <c r="I59" i="11" s="1"/>
  <c r="BQ58" i="11"/>
  <c r="AA37" i="1"/>
  <c r="AD38" i="1"/>
  <c r="E41" i="3"/>
  <c r="K41" i="3" s="1"/>
  <c r="E41" i="4"/>
  <c r="K41" i="4" s="1"/>
  <c r="V43" i="1"/>
  <c r="BK41" i="1"/>
  <c r="BL42" i="1"/>
  <c r="J43" i="1"/>
  <c r="M43" i="1" s="1"/>
  <c r="S42" i="1"/>
  <c r="AA36" i="1" l="1"/>
  <c r="AD37" i="1"/>
  <c r="C29" i="1"/>
  <c r="D29" i="1" s="1"/>
  <c r="A30" i="1"/>
  <c r="BK40" i="1"/>
  <c r="BL41" i="1"/>
  <c r="S41" i="1"/>
  <c r="F58" i="11"/>
  <c r="I58" i="11" s="1"/>
  <c r="J59" i="11" s="1"/>
  <c r="BQ57" i="11"/>
  <c r="BR58" i="11"/>
  <c r="E40" i="3"/>
  <c r="K40" i="3" s="1"/>
  <c r="M41" i="3" s="1"/>
  <c r="C28" i="1" s="1"/>
  <c r="D28" i="1" s="1"/>
  <c r="E40" i="4"/>
  <c r="K40" i="4" s="1"/>
  <c r="M41" i="4" s="1"/>
  <c r="V42" i="1"/>
  <c r="BR57" i="11" l="1"/>
  <c r="F57" i="11"/>
  <c r="I57" i="11" s="1"/>
  <c r="BQ56" i="11"/>
  <c r="BK39" i="1"/>
  <c r="BL40" i="1"/>
  <c r="S40" i="1"/>
  <c r="J41" i="1"/>
  <c r="M41" i="1" s="1"/>
  <c r="A31" i="1"/>
  <c r="C30" i="1"/>
  <c r="D30" i="1" s="1"/>
  <c r="AA35" i="1"/>
  <c r="AD36" i="1"/>
  <c r="E39" i="4"/>
  <c r="K39" i="4" s="1"/>
  <c r="V41" i="1"/>
  <c r="E39" i="3"/>
  <c r="K39" i="3" s="1"/>
  <c r="AA34" i="1" l="1"/>
  <c r="AD35" i="1"/>
  <c r="BK38" i="1"/>
  <c r="BL39" i="1"/>
  <c r="S39" i="1"/>
  <c r="C31" i="1"/>
  <c r="D31" i="1" s="1"/>
  <c r="A32" i="1"/>
  <c r="F56" i="11"/>
  <c r="I56" i="11" s="1"/>
  <c r="J57" i="11" s="1"/>
  <c r="BR56" i="11"/>
  <c r="BQ55" i="11"/>
  <c r="E38" i="3"/>
  <c r="K38" i="3" s="1"/>
  <c r="M39" i="3" s="1"/>
  <c r="C27" i="1" s="1"/>
  <c r="D27" i="1" s="1"/>
  <c r="E38" i="4"/>
  <c r="K38" i="4" s="1"/>
  <c r="M39" i="4" s="1"/>
  <c r="V40" i="1"/>
  <c r="E37" i="3" l="1"/>
  <c r="K37" i="3" s="1"/>
  <c r="E37" i="4"/>
  <c r="K37" i="4" s="1"/>
  <c r="V39" i="1"/>
  <c r="F55" i="11"/>
  <c r="I55" i="11" s="1"/>
  <c r="BQ54" i="11"/>
  <c r="BR55" i="11"/>
  <c r="BK37" i="1"/>
  <c r="BL38" i="1"/>
  <c r="J39" i="1"/>
  <c r="M39" i="1" s="1"/>
  <c r="S38" i="1"/>
  <c r="C32" i="1"/>
  <c r="D32" i="1" s="1"/>
  <c r="A33" i="1"/>
  <c r="AA33" i="1"/>
  <c r="AD34" i="1"/>
  <c r="BK36" i="1" l="1"/>
  <c r="BL37" i="1"/>
  <c r="S37" i="1"/>
  <c r="AA32" i="1"/>
  <c r="AD33" i="1"/>
  <c r="E36" i="4"/>
  <c r="K36" i="4" s="1"/>
  <c r="M37" i="4" s="1"/>
  <c r="E36" i="3"/>
  <c r="K36" i="3" s="1"/>
  <c r="M37" i="3" s="1"/>
  <c r="C26" i="1" s="1"/>
  <c r="D26" i="1" s="1"/>
  <c r="V38" i="1"/>
  <c r="C33" i="1"/>
  <c r="D33" i="1" s="1"/>
  <c r="A34" i="1"/>
  <c r="F54" i="11"/>
  <c r="I54" i="11" s="1"/>
  <c r="J55" i="11" s="1"/>
  <c r="BQ53" i="11"/>
  <c r="BR54" i="11"/>
  <c r="E35" i="3" l="1"/>
  <c r="K35" i="3" s="1"/>
  <c r="E35" i="4"/>
  <c r="K35" i="4" s="1"/>
  <c r="V37" i="1"/>
  <c r="BR53" i="11"/>
  <c r="BQ52" i="11"/>
  <c r="F53" i="11"/>
  <c r="I53" i="11" s="1"/>
  <c r="A35" i="1"/>
  <c r="C34" i="1"/>
  <c r="D34" i="1" s="1"/>
  <c r="AA31" i="1"/>
  <c r="AD32" i="1"/>
  <c r="BK35" i="1"/>
  <c r="BL36" i="1"/>
  <c r="J37" i="1"/>
  <c r="M37" i="1" s="1"/>
  <c r="S36" i="1"/>
  <c r="C35" i="1" l="1"/>
  <c r="D35" i="1" s="1"/>
  <c r="A36" i="1"/>
  <c r="BK34" i="1"/>
  <c r="BL35" i="1"/>
  <c r="S35" i="1"/>
  <c r="AA30" i="1"/>
  <c r="AD31" i="1"/>
  <c r="E34" i="3"/>
  <c r="K34" i="3" s="1"/>
  <c r="M35" i="3" s="1"/>
  <c r="C25" i="1" s="1"/>
  <c r="D25" i="1" s="1"/>
  <c r="E34" i="4"/>
  <c r="K34" i="4" s="1"/>
  <c r="M35" i="4" s="1"/>
  <c r="V36" i="1"/>
  <c r="BR52" i="11"/>
  <c r="F52" i="11"/>
  <c r="I52" i="11" s="1"/>
  <c r="J53" i="11" s="1"/>
  <c r="BQ51" i="11"/>
  <c r="BK33" i="1" l="1"/>
  <c r="BL34" i="1"/>
  <c r="S34" i="1"/>
  <c r="J35" i="1"/>
  <c r="M35" i="1" s="1"/>
  <c r="BQ50" i="11"/>
  <c r="F51" i="11"/>
  <c r="I51" i="11" s="1"/>
  <c r="BR51" i="11"/>
  <c r="AA29" i="1"/>
  <c r="AD30" i="1"/>
  <c r="C36" i="1"/>
  <c r="D36" i="1" s="1"/>
  <c r="A37" i="1"/>
  <c r="E33" i="3"/>
  <c r="K33" i="3" s="1"/>
  <c r="E33" i="4"/>
  <c r="K33" i="4" s="1"/>
  <c r="V35" i="1"/>
  <c r="C37" i="1" l="1"/>
  <c r="D37" i="1" s="1"/>
  <c r="A38" i="1"/>
  <c r="AA28" i="1"/>
  <c r="AD29" i="1"/>
  <c r="E32" i="3"/>
  <c r="K32" i="3" s="1"/>
  <c r="M33" i="3" s="1"/>
  <c r="C24" i="1" s="1"/>
  <c r="D24" i="1" s="1"/>
  <c r="E32" i="4"/>
  <c r="K32" i="4" s="1"/>
  <c r="M33" i="4" s="1"/>
  <c r="V34" i="1"/>
  <c r="BR50" i="11"/>
  <c r="BQ49" i="11"/>
  <c r="F50" i="11"/>
  <c r="I50" i="11" s="1"/>
  <c r="J51" i="11" s="1"/>
  <c r="BK32" i="1"/>
  <c r="BL33" i="1"/>
  <c r="S33" i="1"/>
  <c r="E31" i="3" l="1"/>
  <c r="K31" i="3" s="1"/>
  <c r="E31" i="4"/>
  <c r="K31" i="4" s="1"/>
  <c r="V33" i="1"/>
  <c r="BQ48" i="11"/>
  <c r="BR49" i="11"/>
  <c r="F49" i="11"/>
  <c r="I49" i="11" s="1"/>
  <c r="A39" i="1"/>
  <c r="C38" i="1"/>
  <c r="D38" i="1" s="1"/>
  <c r="BK31" i="1"/>
  <c r="BL32" i="1"/>
  <c r="S32" i="1"/>
  <c r="J33" i="1"/>
  <c r="M33" i="1" s="1"/>
  <c r="AA27" i="1"/>
  <c r="AD28" i="1"/>
  <c r="E30" i="3" l="1"/>
  <c r="K30" i="3" s="1"/>
  <c r="M31" i="3" s="1"/>
  <c r="C23" i="1" s="1"/>
  <c r="D23" i="1" s="1"/>
  <c r="E30" i="4"/>
  <c r="K30" i="4" s="1"/>
  <c r="M31" i="4" s="1"/>
  <c r="V32" i="1"/>
  <c r="BQ47" i="11"/>
  <c r="F48" i="11"/>
  <c r="I48" i="11" s="1"/>
  <c r="J49" i="11" s="1"/>
  <c r="BR48" i="11"/>
  <c r="C39" i="1"/>
  <c r="D39" i="1" s="1"/>
  <c r="A40" i="1"/>
  <c r="BK30" i="1"/>
  <c r="BL31" i="1"/>
  <c r="S31" i="1"/>
  <c r="AD27" i="1"/>
  <c r="AA26" i="1"/>
  <c r="BQ46" i="11" l="1"/>
  <c r="BR47" i="11"/>
  <c r="F47" i="11"/>
  <c r="I47" i="11" s="1"/>
  <c r="AA25" i="1"/>
  <c r="AD26" i="1"/>
  <c r="BK29" i="1"/>
  <c r="BL30" i="1"/>
  <c r="J31" i="1"/>
  <c r="M31" i="1" s="1"/>
  <c r="S30" i="1"/>
  <c r="E29" i="3"/>
  <c r="K29" i="3" s="1"/>
  <c r="E29" i="4"/>
  <c r="K29" i="4" s="1"/>
  <c r="V31" i="1"/>
  <c r="C40" i="1"/>
  <c r="D40" i="1" s="1"/>
  <c r="A41" i="1"/>
  <c r="BK28" i="1" l="1"/>
  <c r="BL29" i="1"/>
  <c r="S29" i="1"/>
  <c r="E28" i="3"/>
  <c r="K28" i="3" s="1"/>
  <c r="M29" i="3" s="1"/>
  <c r="C22" i="1" s="1"/>
  <c r="D22" i="1" s="1"/>
  <c r="E28" i="4"/>
  <c r="K28" i="4" s="1"/>
  <c r="M29" i="4" s="1"/>
  <c r="V30" i="1"/>
  <c r="AA24" i="1"/>
  <c r="AD25" i="1"/>
  <c r="C41" i="1"/>
  <c r="D41" i="1" s="1"/>
  <c r="A42" i="1"/>
  <c r="BR46" i="11"/>
  <c r="BQ45" i="11"/>
  <c r="F46" i="11"/>
  <c r="I46" i="11" s="1"/>
  <c r="J47" i="11" s="1"/>
  <c r="A43" i="1" l="1"/>
  <c r="C42" i="1"/>
  <c r="D42" i="1" s="1"/>
  <c r="AD24" i="1"/>
  <c r="AD95" i="1" s="1"/>
  <c r="K100" i="4" s="1"/>
  <c r="AA95" i="1"/>
  <c r="E100" i="4" s="1"/>
  <c r="E27" i="3"/>
  <c r="K27" i="3" s="1"/>
  <c r="E27" i="4"/>
  <c r="K27" i="4" s="1"/>
  <c r="V29" i="1"/>
  <c r="BR45" i="11"/>
  <c r="F45" i="11"/>
  <c r="I45" i="11" s="1"/>
  <c r="BQ44" i="11"/>
  <c r="BK27" i="1"/>
  <c r="BL28" i="1"/>
  <c r="J29" i="1"/>
  <c r="M29" i="1" s="1"/>
  <c r="S28" i="1"/>
  <c r="BL27" i="1" l="1"/>
  <c r="BK26" i="1"/>
  <c r="S27" i="1"/>
  <c r="E26" i="3"/>
  <c r="K26" i="3" s="1"/>
  <c r="M27" i="3" s="1"/>
  <c r="C21" i="1" s="1"/>
  <c r="D21" i="1" s="1"/>
  <c r="E26" i="4"/>
  <c r="K26" i="4" s="1"/>
  <c r="M27" i="4" s="1"/>
  <c r="V28" i="1"/>
  <c r="BQ43" i="11"/>
  <c r="F44" i="11"/>
  <c r="I44" i="11" s="1"/>
  <c r="J45" i="11" s="1"/>
  <c r="BR44" i="11"/>
  <c r="C43" i="1"/>
  <c r="D43" i="1" s="1"/>
  <c r="A44" i="1"/>
  <c r="C44" i="1" l="1"/>
  <c r="D44" i="1" s="1"/>
  <c r="A45" i="1"/>
  <c r="BQ42" i="11"/>
  <c r="BR43" i="11"/>
  <c r="F43" i="11"/>
  <c r="I43" i="11" s="1"/>
  <c r="E25" i="3"/>
  <c r="K25" i="3" s="1"/>
  <c r="E25" i="4"/>
  <c r="K25" i="4" s="1"/>
  <c r="V27" i="1"/>
  <c r="BK25" i="1"/>
  <c r="BL26" i="1"/>
  <c r="S26" i="1"/>
  <c r="J27" i="1"/>
  <c r="M27" i="1" s="1"/>
  <c r="BR42" i="11" l="1"/>
  <c r="BQ41" i="11"/>
  <c r="F42" i="11"/>
  <c r="I42" i="11" s="1"/>
  <c r="J43" i="11" s="1"/>
  <c r="E24" i="3"/>
  <c r="K24" i="3" s="1"/>
  <c r="M25" i="3" s="1"/>
  <c r="C20" i="1" s="1"/>
  <c r="D20" i="1" s="1"/>
  <c r="E24" i="4"/>
  <c r="K24" i="4" s="1"/>
  <c r="M25" i="4" s="1"/>
  <c r="V26" i="1"/>
  <c r="C45" i="1"/>
  <c r="D45" i="1" s="1"/>
  <c r="A46" i="1"/>
  <c r="BK24" i="1"/>
  <c r="BL25" i="1"/>
  <c r="S25" i="1"/>
  <c r="BL24" i="1" l="1"/>
  <c r="BK23" i="1"/>
  <c r="S24" i="1"/>
  <c r="J25" i="1"/>
  <c r="M25" i="1" s="1"/>
  <c r="BR41" i="11"/>
  <c r="BQ40" i="11"/>
  <c r="F41" i="11"/>
  <c r="I41" i="11" s="1"/>
  <c r="E23" i="4"/>
  <c r="K23" i="4" s="1"/>
  <c r="E23" i="3"/>
  <c r="K23" i="3" s="1"/>
  <c r="V25" i="1"/>
  <c r="A47" i="1"/>
  <c r="C46" i="1"/>
  <c r="D46" i="1" s="1"/>
  <c r="E22" i="3" l="1"/>
  <c r="K22" i="3" s="1"/>
  <c r="M23" i="3" s="1"/>
  <c r="C19" i="1" s="1"/>
  <c r="D19" i="1" s="1"/>
  <c r="E22" i="4"/>
  <c r="K22" i="4" s="1"/>
  <c r="M23" i="4" s="1"/>
  <c r="V24" i="1"/>
  <c r="F40" i="11"/>
  <c r="I40" i="11" s="1"/>
  <c r="J41" i="11" s="1"/>
  <c r="BQ39" i="11"/>
  <c r="BR40" i="11"/>
  <c r="S23" i="1"/>
  <c r="BK22" i="1"/>
  <c r="BL23" i="1"/>
  <c r="C47" i="1"/>
  <c r="D47" i="1" s="1"/>
  <c r="A48" i="1"/>
  <c r="BK21" i="1" l="1"/>
  <c r="BL22" i="1"/>
  <c r="S22" i="1"/>
  <c r="J23" i="1"/>
  <c r="M23" i="1" s="1"/>
  <c r="E21" i="3"/>
  <c r="K21" i="3" s="1"/>
  <c r="E21" i="4"/>
  <c r="K21" i="4" s="1"/>
  <c r="V23" i="1"/>
  <c r="C48" i="1"/>
  <c r="D48" i="1" s="1"/>
  <c r="A49" i="1"/>
  <c r="BQ38" i="11"/>
  <c r="F39" i="11"/>
  <c r="I39" i="11" s="1"/>
  <c r="BR39" i="11"/>
  <c r="F38" i="11" l="1"/>
  <c r="I38" i="11" s="1"/>
  <c r="J39" i="11" s="1"/>
  <c r="BR38" i="11"/>
  <c r="BQ37" i="11"/>
  <c r="E20" i="3"/>
  <c r="K20" i="3" s="1"/>
  <c r="M21" i="3" s="1"/>
  <c r="C18" i="1" s="1"/>
  <c r="D18" i="1" s="1"/>
  <c r="E20" i="4"/>
  <c r="K20" i="4" s="1"/>
  <c r="M21" i="4" s="1"/>
  <c r="V22" i="1"/>
  <c r="C49" i="1"/>
  <c r="D49" i="1" s="1"/>
  <c r="A50" i="1"/>
  <c r="BK20" i="1"/>
  <c r="BL21" i="1"/>
  <c r="S21" i="1"/>
  <c r="F37" i="11" l="1"/>
  <c r="I37" i="11" s="1"/>
  <c r="BQ36" i="11"/>
  <c r="BR37" i="11"/>
  <c r="BL20" i="1"/>
  <c r="BK19" i="1"/>
  <c r="J21" i="1"/>
  <c r="M21" i="1" s="1"/>
  <c r="S20" i="1"/>
  <c r="E19" i="3"/>
  <c r="K19" i="3" s="1"/>
  <c r="E19" i="4"/>
  <c r="K19" i="4" s="1"/>
  <c r="V21" i="1"/>
  <c r="A51" i="1"/>
  <c r="C50" i="1"/>
  <c r="D50" i="1" s="1"/>
  <c r="C51" i="1" l="1"/>
  <c r="D51" i="1" s="1"/>
  <c r="A52" i="1"/>
  <c r="E18" i="3"/>
  <c r="K18" i="3" s="1"/>
  <c r="M19" i="3" s="1"/>
  <c r="C17" i="1" s="1"/>
  <c r="D17" i="1" s="1"/>
  <c r="E18" i="4"/>
  <c r="K18" i="4" s="1"/>
  <c r="M19" i="4" s="1"/>
  <c r="V20" i="1"/>
  <c r="F36" i="11"/>
  <c r="I36" i="11" s="1"/>
  <c r="J37" i="11" s="1"/>
  <c r="BR36" i="11"/>
  <c r="BQ35" i="11"/>
  <c r="BK18" i="1"/>
  <c r="BL19" i="1"/>
  <c r="S19" i="1"/>
  <c r="C52" i="1" l="1"/>
  <c r="D52" i="1" s="1"/>
  <c r="A53" i="1"/>
  <c r="E17" i="3"/>
  <c r="K17" i="3" s="1"/>
  <c r="E17" i="4"/>
  <c r="K17" i="4" s="1"/>
  <c r="V19" i="1"/>
  <c r="BK17" i="1"/>
  <c r="BL18" i="1"/>
  <c r="J19" i="1"/>
  <c r="M19" i="1" s="1"/>
  <c r="S18" i="1"/>
  <c r="BQ34" i="11"/>
  <c r="F35" i="11"/>
  <c r="I35" i="11" s="1"/>
  <c r="BR35" i="11"/>
  <c r="BQ33" i="11" l="1"/>
  <c r="F34" i="11"/>
  <c r="I34" i="11" s="1"/>
  <c r="J35" i="11" s="1"/>
  <c r="BR34" i="11"/>
  <c r="BK16" i="1"/>
  <c r="BL17" i="1"/>
  <c r="S17" i="1"/>
  <c r="C53" i="1"/>
  <c r="D53" i="1" s="1"/>
  <c r="E16" i="3"/>
  <c r="K16" i="3" s="1"/>
  <c r="M17" i="3" s="1"/>
  <c r="C16" i="1" s="1"/>
  <c r="D16" i="1" s="1"/>
  <c r="E16" i="4"/>
  <c r="K16" i="4" s="1"/>
  <c r="M17" i="4" s="1"/>
  <c r="V18" i="1"/>
  <c r="E15" i="3" l="1"/>
  <c r="K15" i="3" s="1"/>
  <c r="E15" i="4"/>
  <c r="K15" i="4" s="1"/>
  <c r="V17" i="1"/>
  <c r="BK15" i="1"/>
  <c r="BL16" i="1"/>
  <c r="J17" i="1"/>
  <c r="M17" i="1" s="1"/>
  <c r="S16" i="1"/>
  <c r="F33" i="11"/>
  <c r="I33" i="11" s="1"/>
  <c r="BR33" i="11"/>
  <c r="BQ32" i="11"/>
  <c r="E14" i="3" l="1"/>
  <c r="K14" i="3" s="1"/>
  <c r="M15" i="3" s="1"/>
  <c r="C15" i="1" s="1"/>
  <c r="D15" i="1" s="1"/>
  <c r="E14" i="4"/>
  <c r="K14" i="4" s="1"/>
  <c r="M15" i="4" s="1"/>
  <c r="V16" i="1"/>
  <c r="BQ31" i="11"/>
  <c r="F32" i="11"/>
  <c r="I32" i="11" s="1"/>
  <c r="J33" i="11" s="1"/>
  <c r="BR32" i="11"/>
  <c r="BK14" i="1"/>
  <c r="BL15" i="1"/>
  <c r="S15" i="1"/>
  <c r="BQ30" i="11" l="1"/>
  <c r="F31" i="11"/>
  <c r="I31" i="11" s="1"/>
  <c r="BR31" i="11"/>
  <c r="BK13" i="1"/>
  <c r="BL14" i="1"/>
  <c r="S14" i="1"/>
  <c r="J15" i="1"/>
  <c r="M15" i="1" s="1"/>
  <c r="E13" i="3"/>
  <c r="K13" i="3" s="1"/>
  <c r="E13" i="4"/>
  <c r="K13" i="4" s="1"/>
  <c r="V15" i="1"/>
  <c r="S13" i="1" l="1"/>
  <c r="BK12" i="1"/>
  <c r="BL13" i="1"/>
  <c r="E12" i="3"/>
  <c r="K12" i="3" s="1"/>
  <c r="M13" i="3" s="1"/>
  <c r="C14" i="1" s="1"/>
  <c r="D14" i="1" s="1"/>
  <c r="E12" i="4"/>
  <c r="K12" i="4" s="1"/>
  <c r="M13" i="4" s="1"/>
  <c r="V14" i="1"/>
  <c r="BQ29" i="11"/>
  <c r="F30" i="11"/>
  <c r="I30" i="11" s="1"/>
  <c r="J31" i="11" s="1"/>
  <c r="BR30" i="11"/>
  <c r="S12" i="1" l="1"/>
  <c r="BL12" i="1"/>
  <c r="BL95" i="1" s="1"/>
  <c r="J13" i="1"/>
  <c r="BK95" i="1"/>
  <c r="F29" i="11"/>
  <c r="I29" i="11" s="1"/>
  <c r="BR29" i="11"/>
  <c r="BQ28" i="11"/>
  <c r="E11" i="3"/>
  <c r="K11" i="3" s="1"/>
  <c r="E11" i="4"/>
  <c r="K11" i="4" s="1"/>
  <c r="V13" i="1"/>
  <c r="F28" i="11" l="1"/>
  <c r="I28" i="11" s="1"/>
  <c r="J29" i="11" s="1"/>
  <c r="BR28" i="11"/>
  <c r="BQ27" i="11"/>
  <c r="M13" i="1"/>
  <c r="M95" i="1" s="1"/>
  <c r="C2" i="1" s="1"/>
  <c r="J95" i="1"/>
  <c r="E10" i="4"/>
  <c r="S95" i="1"/>
  <c r="V12" i="1"/>
  <c r="V95" i="1" s="1"/>
  <c r="E93" i="4" l="1"/>
  <c r="K10" i="4"/>
  <c r="BQ26" i="11"/>
  <c r="BR27" i="11"/>
  <c r="F27" i="11"/>
  <c r="I27" i="11" s="1"/>
  <c r="K10" i="3"/>
  <c r="E93" i="3"/>
  <c r="E101" i="4" s="1"/>
  <c r="BR26" i="11" l="1"/>
  <c r="F26" i="11"/>
  <c r="I26" i="11" s="1"/>
  <c r="J27" i="11" s="1"/>
  <c r="BQ25" i="11"/>
  <c r="K93" i="3"/>
  <c r="K101" i="4" s="1"/>
  <c r="M11" i="3"/>
  <c r="M11" i="4"/>
  <c r="M93" i="4" s="1"/>
  <c r="K93" i="4"/>
  <c r="E102" i="4"/>
  <c r="K102" i="4" l="1"/>
  <c r="BQ24" i="11"/>
  <c r="BR25" i="11"/>
  <c r="F25" i="11"/>
  <c r="I25" i="11" s="1"/>
  <c r="M93" i="3"/>
  <c r="C13" i="1"/>
  <c r="D13" i="1" s="1"/>
  <c r="F24" i="11" l="1"/>
  <c r="I24" i="11" s="1"/>
  <c r="J25" i="11" s="1"/>
  <c r="BR24" i="11"/>
  <c r="BQ23" i="11"/>
  <c r="M101" i="4"/>
  <c r="C3" i="1"/>
  <c r="BQ22" i="11" l="1"/>
  <c r="F23" i="11"/>
  <c r="I23" i="11" s="1"/>
  <c r="BR23" i="11"/>
  <c r="F22" i="11" l="1"/>
  <c r="I22" i="11" s="1"/>
  <c r="J23" i="11" s="1"/>
  <c r="BR22" i="11"/>
  <c r="BQ21" i="11"/>
  <c r="F21" i="11" l="1"/>
  <c r="I21" i="11" s="1"/>
  <c r="BR21" i="11"/>
  <c r="BQ20" i="11"/>
  <c r="F20" i="11" l="1"/>
  <c r="I20" i="11" s="1"/>
  <c r="J21" i="11" s="1"/>
  <c r="BR20" i="11"/>
  <c r="BQ19" i="11"/>
  <c r="BQ18" i="11" l="1"/>
  <c r="F19" i="11"/>
  <c r="I19" i="11" s="1"/>
  <c r="BR19" i="11"/>
  <c r="BR18" i="11" l="1"/>
  <c r="BQ17" i="11"/>
  <c r="F18" i="11"/>
  <c r="I18" i="11" s="1"/>
  <c r="J19" i="11" s="1"/>
  <c r="F17" i="11" l="1"/>
  <c r="I17" i="11" s="1"/>
  <c r="BR17" i="11"/>
  <c r="BQ16" i="11"/>
  <c r="F16" i="11" l="1"/>
  <c r="I16" i="11" s="1"/>
  <c r="J17" i="11" s="1"/>
  <c r="BQ15" i="11"/>
  <c r="BR16" i="11"/>
  <c r="BR15" i="11" l="1"/>
  <c r="BQ14" i="11"/>
  <c r="F15" i="11"/>
  <c r="I15" i="11" s="1"/>
  <c r="BQ13" i="11" l="1"/>
  <c r="BR14" i="11"/>
  <c r="F14" i="11"/>
  <c r="I14" i="11" s="1"/>
  <c r="J15" i="11" s="1"/>
  <c r="BQ12" i="11" l="1"/>
  <c r="BR13" i="11"/>
  <c r="F13" i="11"/>
  <c r="I13" i="11" s="1"/>
  <c r="BQ95" i="11" l="1"/>
  <c r="BR12" i="11"/>
  <c r="BR95" i="11" s="1"/>
  <c r="F12" i="11"/>
  <c r="I12" i="11" l="1"/>
  <c r="F95" i="11"/>
  <c r="I95" i="11" l="1"/>
  <c r="J13" i="11"/>
  <c r="J95" i="11" s="1"/>
</calcChain>
</file>

<file path=xl/sharedStrings.xml><?xml version="1.0" encoding="utf-8"?>
<sst xmlns="http://schemas.openxmlformats.org/spreadsheetml/2006/main" count="841" uniqueCount="113">
  <si>
    <t>Par Amount</t>
  </si>
  <si>
    <t>MPEA 2019A Expansion Project Bond Deal</t>
  </si>
  <si>
    <t>Final Costs of Issuance</t>
  </si>
  <si>
    <t>Series 2019A</t>
  </si>
  <si>
    <t>Memo:</t>
  </si>
  <si>
    <t>MBE/WBE</t>
  </si>
  <si>
    <t>Amounts</t>
  </si>
  <si>
    <t>Discretionary</t>
  </si>
  <si>
    <t>WBE</t>
  </si>
  <si>
    <t>MBE</t>
  </si>
  <si>
    <t>Goldman, Sachs &amp; Co.</t>
  </si>
  <si>
    <t xml:space="preserve">    Total Takedown</t>
  </si>
  <si>
    <t>Chapman and Cutler LLP (Underwriter's Counsel)</t>
  </si>
  <si>
    <t>DTC</t>
  </si>
  <si>
    <t>CUSIP Fee</t>
  </si>
  <si>
    <t xml:space="preserve">    Total Underwriter's fees</t>
  </si>
  <si>
    <t>Katten Muchin Rosenmann (Bond Counsel)</t>
  </si>
  <si>
    <t>Burke Burns &amp; Pinelli (Issuer's Counsel)</t>
  </si>
  <si>
    <t>Charity &amp; Associates (Disclosure Counsel)</t>
  </si>
  <si>
    <t>PFM Financial (Financial Advisor)</t>
  </si>
  <si>
    <t>TBD (Escrow Bidding Agent)</t>
  </si>
  <si>
    <t>Amalgamated Bank (Trustee)</t>
  </si>
  <si>
    <t>Zions Bank (Escrow Trustee)</t>
  </si>
  <si>
    <t>Image Master (Print/Roadshow)</t>
  </si>
  <si>
    <t>Samuel Klein and Company (Verification Agent)</t>
  </si>
  <si>
    <t>MPEA Misc Expenses</t>
  </si>
  <si>
    <t xml:space="preserve">    Total Cost Of Issuance</t>
  </si>
  <si>
    <t>Costs of Issuance less Underwriter's fees</t>
  </si>
  <si>
    <t>Principal</t>
  </si>
  <si>
    <t>Interest Payment</t>
  </si>
  <si>
    <t>Date</t>
  </si>
  <si>
    <t>Maturity Schedule as of</t>
  </si>
  <si>
    <t>Coupon</t>
  </si>
  <si>
    <t>Rate</t>
  </si>
  <si>
    <t>%</t>
  </si>
  <si>
    <t>Principal to be</t>
  </si>
  <si>
    <t>Redeemed</t>
  </si>
  <si>
    <t>Interest Due</t>
  </si>
  <si>
    <t>Compounded</t>
  </si>
  <si>
    <t>Interest</t>
  </si>
  <si>
    <t>Capitalized</t>
  </si>
  <si>
    <t>Debt Service</t>
  </si>
  <si>
    <t>Series 2019A Expansion Project Bonds</t>
  </si>
  <si>
    <t>Bond Interest and Redemption Schedule</t>
  </si>
  <si>
    <t>Totals</t>
  </si>
  <si>
    <t>Total Expansion Project Bonds Debt Service</t>
  </si>
  <si>
    <t>(After Series 2019A Expansion Project Bond Issuance)</t>
  </si>
  <si>
    <t>Annual</t>
  </si>
  <si>
    <t>Unrefunded Prior Expansion Project Bonds Debt Service</t>
  </si>
  <si>
    <t>Reconciliation</t>
  </si>
  <si>
    <t>Total Debt Service</t>
  </si>
  <si>
    <t>Difference</t>
  </si>
  <si>
    <t>METROPOLITAN PIER AND EXPOSITION AUTHORITY</t>
  </si>
  <si>
    <t>Outstanding Debt Service by Series</t>
  </si>
  <si>
    <t>Check to Cash Flow Model</t>
  </si>
  <si>
    <t>Period</t>
  </si>
  <si>
    <t>Debt</t>
  </si>
  <si>
    <t>Ending</t>
  </si>
  <si>
    <t>Service</t>
  </si>
  <si>
    <t>Aggregate Debt Service</t>
  </si>
  <si>
    <t>Payment</t>
  </si>
  <si>
    <t xml:space="preserve">Capitalized </t>
  </si>
  <si>
    <t>Expansion Project Bonds, 2017A</t>
  </si>
  <si>
    <t>Aggregate Semi-Annual Debt Service</t>
  </si>
  <si>
    <t>Expansion Project Bonds, 2019A</t>
  </si>
  <si>
    <t>Expansion Project Bonds, 2017B</t>
  </si>
  <si>
    <t>Expansion Project Bonds, 2015A</t>
  </si>
  <si>
    <t>Expansion Project Bonds, 2015B</t>
  </si>
  <si>
    <t>Expansion Project Bonds, 2012A</t>
  </si>
  <si>
    <t>Expansion Project Bonds, 2012B</t>
  </si>
  <si>
    <t>Expansion Project Bonds, 2012C</t>
  </si>
  <si>
    <t>Expansion Project Bonds, 2010B</t>
  </si>
  <si>
    <t>Expansion Project Bonds, 2010A</t>
  </si>
  <si>
    <t>Expansion Project Bonds, 2002A</t>
  </si>
  <si>
    <t>Expansion Project Bonds, 2002B</t>
  </si>
  <si>
    <t>Expansion Project Bonds, 1999D</t>
  </si>
  <si>
    <t>Expansion Project Bonds, 1998B</t>
  </si>
  <si>
    <t>Expansion Project Bonds, 1998A</t>
  </si>
  <si>
    <t>Expansion Project Bonds, 1996A</t>
  </si>
  <si>
    <t>Expansion Project Bonds, 1994B</t>
  </si>
  <si>
    <t>Expansion Project Bonds, 1994A</t>
  </si>
  <si>
    <t>Expansion Project Bonds, 1992A</t>
  </si>
  <si>
    <t>Refunded Debt Service by Series</t>
  </si>
  <si>
    <t>Refunded Debt Service</t>
  </si>
  <si>
    <t>FY20 MPEA Expansion Project Bonds Debt Service</t>
  </si>
  <si>
    <t>Total Outstanding Debt Service</t>
  </si>
  <si>
    <t>2019A</t>
  </si>
  <si>
    <t>2017A</t>
  </si>
  <si>
    <t>2017B</t>
  </si>
  <si>
    <t>2015A</t>
  </si>
  <si>
    <t>2015B</t>
  </si>
  <si>
    <t>2012A</t>
  </si>
  <si>
    <t>2012B</t>
  </si>
  <si>
    <t>2012C</t>
  </si>
  <si>
    <t>2010A</t>
  </si>
  <si>
    <t>2010B</t>
  </si>
  <si>
    <t>2002A</t>
  </si>
  <si>
    <t>2002B</t>
  </si>
  <si>
    <t>1999D</t>
  </si>
  <si>
    <t>1998A</t>
  </si>
  <si>
    <t>1998B</t>
  </si>
  <si>
    <t>1996A</t>
  </si>
  <si>
    <t>1994A</t>
  </si>
  <si>
    <t>1994B</t>
  </si>
  <si>
    <t>1992A</t>
  </si>
  <si>
    <t>5%/5.20%/5.25%</t>
  </si>
  <si>
    <t>5%/5.20%/5.25%/6.25%</t>
  </si>
  <si>
    <t>4.25%/5.45%</t>
  </si>
  <si>
    <t>5%/5.73%</t>
  </si>
  <si>
    <t>5%/5.50%/6%</t>
  </si>
  <si>
    <t>5%/5.50%</t>
  </si>
  <si>
    <t>5%/5.25%</t>
  </si>
  <si>
    <t>Various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</si>
</sst>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&quot;$&quot;#,##0.00"/>
    <numFmt numFmtId="166" formatCode="0.0%"/>
    <numFmt numFmtId="167" formatCode="0.000%"/>
    <numFmt numFmtId="168" formatCode="&quot;$&quot;#,##0"/>
    <numFmt numFmtId="169" formatCode="&quot;$&quot;#,##0.000"/>
    <numFmt numFmtId="170" formatCode="_(* #,##0_);_(* \(#,##0\);_(* &quot;-&quot;??_);_(@_)"/>
    <numFmt numFmtId="171" formatCode="m/d/yyyy\ h:mm\ AM/PM"/>
    <numFmt numFmtId="172" formatCode="_(* #,##0.0000_);_(* \(#,##0.0000\);_(* &quot;-&quot;??_);_(@_)"/>
  </numFmts>
  <fonts count="35" x14ac:knownFonts="1">
    <font>
      <sz val="8"/>
      <color indexed="2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22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4"/>
      <name val="Times New Roman"/>
      <family val="1"/>
    </font>
    <font>
      <b/>
      <sz val="11"/>
      <color indexed="22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sz val="11"/>
      <color indexed="22"/>
      <name val="Times New Roman"/>
      <family val="1"/>
    </font>
    <font>
      <b/>
      <sz val="16"/>
      <color indexed="22"/>
      <name val="Times New Roman"/>
      <family val="1"/>
    </font>
    <font>
      <sz val="10"/>
      <name val="Times New Roman"/>
      <family val="1"/>
    </font>
    <font>
      <b/>
      <sz val="12"/>
      <color indexed="2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4"/>
      <color indexed="22"/>
      <name val="Times New Roman"/>
      <family val="1"/>
    </font>
    <font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22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sz val="10"/>
      <color indexed="12"/>
      <name val="Times New Roman"/>
      <family val="1"/>
    </font>
    <font>
      <sz val="10"/>
      <color indexed="44"/>
      <name val="Times New Roman"/>
      <family val="1"/>
    </font>
    <font>
      <b/>
      <u/>
      <sz val="11"/>
      <color indexed="22"/>
      <name val="Times New Roman"/>
      <family val="1"/>
    </font>
    <font>
      <b/>
      <u/>
      <sz val="22"/>
      <name val="Times New Roman"/>
      <family val="1"/>
    </font>
    <font>
      <b/>
      <sz val="20"/>
      <name val="Times New Roman"/>
      <family val="1"/>
    </font>
    <font>
      <sz val="11"/>
      <color indexed="8"/>
      <name val="Times New Roman"/>
      <family val="1"/>
    </font>
    <font>
      <u/>
      <sz val="11"/>
      <name val="Times New Roman"/>
      <family val="1"/>
    </font>
    <font>
      <sz val="10"/>
      <color theme="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4" fontId="4" fillId="0" borderId="0" xfId="0" applyNumberFormat="1" applyFont="1" applyFill="1" applyBorder="1"/>
    <xf numFmtId="10" fontId="4" fillId="0" borderId="0" xfId="4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9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14" fontId="10" fillId="0" borderId="2" xfId="0" applyNumberFormat="1" applyFont="1" applyBorder="1" applyAlignment="1">
      <alignment horizontal="left"/>
    </xf>
    <xf numFmtId="0" fontId="10" fillId="0" borderId="0" xfId="0" applyFont="1" applyBorder="1"/>
    <xf numFmtId="6" fontId="10" fillId="0" borderId="2" xfId="0" quotePrefix="1" applyNumberFormat="1" applyFont="1" applyBorder="1"/>
    <xf numFmtId="0" fontId="10" fillId="0" borderId="2" xfId="0" quotePrefix="1" applyFont="1" applyBorder="1"/>
    <xf numFmtId="14" fontId="10" fillId="0" borderId="2" xfId="0" applyNumberFormat="1" applyFont="1" applyBorder="1"/>
    <xf numFmtId="14" fontId="10" fillId="0" borderId="2" xfId="0" quotePrefix="1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14" fontId="10" fillId="0" borderId="0" xfId="0" quotePrefix="1" applyNumberFormat="1" applyFont="1" applyBorder="1" applyAlignment="1"/>
    <xf numFmtId="0" fontId="10" fillId="0" borderId="0" xfId="0" applyFont="1" applyBorder="1" applyAlignment="1"/>
    <xf numFmtId="0" fontId="11" fillId="0" borderId="0" xfId="0" applyFont="1" applyAlignment="1">
      <alignment horizontal="centerContinuous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/>
    <xf numFmtId="164" fontId="5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0" fontId="15" fillId="0" borderId="0" xfId="0" applyFont="1" applyFill="1" applyBorder="1" applyAlignment="1"/>
    <xf numFmtId="0" fontId="18" fillId="0" borderId="0" xfId="0" applyFont="1" applyFill="1" applyBorder="1" applyAlignment="1"/>
    <xf numFmtId="0" fontId="5" fillId="0" borderId="0" xfId="0" applyFont="1" applyFill="1" applyBorder="1" applyAlignment="1"/>
    <xf numFmtId="16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4" fontId="12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left"/>
    </xf>
    <xf numFmtId="14" fontId="4" fillId="0" borderId="2" xfId="0" applyNumberFormat="1" applyFont="1" applyFill="1" applyBorder="1" applyAlignment="1">
      <alignment horizontal="center"/>
    </xf>
    <xf numFmtId="44" fontId="4" fillId="0" borderId="0" xfId="2" applyFont="1" applyFill="1" applyBorder="1"/>
    <xf numFmtId="44" fontId="4" fillId="0" borderId="1" xfId="2" applyFont="1" applyFill="1" applyBorder="1"/>
    <xf numFmtId="43" fontId="4" fillId="0" borderId="0" xfId="1" applyFont="1" applyFill="1" applyBorder="1"/>
    <xf numFmtId="0" fontId="7" fillId="0" borderId="0" xfId="0" applyFont="1"/>
    <xf numFmtId="14" fontId="4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4" fontId="4" fillId="0" borderId="5" xfId="0" applyNumberFormat="1" applyFont="1" applyFill="1" applyBorder="1"/>
    <xf numFmtId="164" fontId="16" fillId="0" borderId="0" xfId="0" applyNumberFormat="1" applyFont="1" applyFill="1" applyBorder="1" applyAlignment="1">
      <alignment horizontal="centerContinuous"/>
    </xf>
    <xf numFmtId="0" fontId="17" fillId="0" borderId="0" xfId="0" applyFont="1" applyAlignment="1">
      <alignment horizontal="centerContinuous"/>
    </xf>
    <xf numFmtId="0" fontId="17" fillId="0" borderId="0" xfId="0" applyFont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164" fontId="9" fillId="0" borderId="0" xfId="0" applyNumberFormat="1" applyFont="1" applyFill="1" applyBorder="1" applyAlignment="1">
      <alignment horizontal="centerContinuous"/>
    </xf>
    <xf numFmtId="0" fontId="13" fillId="0" borderId="0" xfId="0" applyFont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14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/>
    <xf numFmtId="164" fontId="2" fillId="0" borderId="0" xfId="0" applyNumberFormat="1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164" fontId="4" fillId="0" borderId="0" xfId="0" applyNumberFormat="1" applyFont="1" applyFill="1" applyBorder="1" applyAlignment="1">
      <alignment horizontal="centerContinuous"/>
    </xf>
    <xf numFmtId="0" fontId="9" fillId="0" borderId="0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0" fontId="19" fillId="0" borderId="0" xfId="0" applyFont="1" applyFill="1" applyBorder="1"/>
    <xf numFmtId="4" fontId="12" fillId="2" borderId="6" xfId="0" applyNumberFormat="1" applyFont="1" applyFill="1" applyBorder="1"/>
    <xf numFmtId="4" fontId="12" fillId="2" borderId="7" xfId="0" applyNumberFormat="1" applyFont="1" applyFill="1" applyBorder="1"/>
    <xf numFmtId="0" fontId="20" fillId="0" borderId="0" xfId="0" applyFont="1"/>
    <xf numFmtId="0" fontId="21" fillId="0" borderId="1" xfId="0" applyFont="1" applyFill="1" applyBorder="1"/>
    <xf numFmtId="0" fontId="12" fillId="0" borderId="1" xfId="0" applyFont="1" applyFill="1" applyBorder="1"/>
    <xf numFmtId="0" fontId="21" fillId="0" borderId="0" xfId="0" applyFont="1" applyFill="1" applyBorder="1"/>
    <xf numFmtId="0" fontId="22" fillId="0" borderId="0" xfId="0" applyFont="1" applyFill="1" applyBorder="1" applyAlignment="1">
      <alignment horizontal="left"/>
    </xf>
    <xf numFmtId="0" fontId="22" fillId="0" borderId="0" xfId="0" applyFont="1" applyFill="1" applyBorder="1"/>
    <xf numFmtId="4" fontId="22" fillId="0" borderId="0" xfId="0" applyNumberFormat="1" applyFont="1" applyFill="1" applyBorder="1"/>
    <xf numFmtId="0" fontId="20" fillId="0" borderId="0" xfId="0" applyFont="1" applyBorder="1" applyAlignment="1">
      <alignment horizontal="left"/>
    </xf>
    <xf numFmtId="0" fontId="20" fillId="0" borderId="0" xfId="0" applyFont="1" applyBorder="1"/>
    <xf numFmtId="0" fontId="22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4" fontId="22" fillId="0" borderId="0" xfId="0" applyNumberFormat="1" applyFont="1" applyFill="1" applyBorder="1" applyAlignment="1">
      <alignment horizontal="right"/>
    </xf>
    <xf numFmtId="0" fontId="22" fillId="0" borderId="8" xfId="0" applyFont="1" applyFill="1" applyBorder="1" applyAlignment="1">
      <alignment horizontal="left"/>
    </xf>
    <xf numFmtId="0" fontId="22" fillId="0" borderId="8" xfId="0" applyFont="1" applyFill="1" applyBorder="1" applyAlignment="1">
      <alignment horizontal="right"/>
    </xf>
    <xf numFmtId="0" fontId="22" fillId="0" borderId="8" xfId="0" applyFont="1" applyFill="1" applyBorder="1"/>
    <xf numFmtId="4" fontId="22" fillId="0" borderId="8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left"/>
    </xf>
    <xf numFmtId="4" fontId="12" fillId="0" borderId="0" xfId="0" applyNumberFormat="1" applyFont="1" applyFill="1" applyBorder="1" applyAlignment="1">
      <alignment horizontal="right"/>
    </xf>
    <xf numFmtId="14" fontId="12" fillId="0" borderId="0" xfId="0" applyNumberFormat="1" applyFont="1" applyFill="1" applyBorder="1" applyAlignment="1">
      <alignment horizontal="left"/>
    </xf>
    <xf numFmtId="4" fontId="23" fillId="0" borderId="0" xfId="0" applyNumberFormat="1" applyFont="1" applyFill="1" applyBorder="1"/>
    <xf numFmtId="10" fontId="12" fillId="0" borderId="0" xfId="0" applyNumberFormat="1" applyFont="1" applyFill="1" applyBorder="1"/>
    <xf numFmtId="6" fontId="24" fillId="0" borderId="0" xfId="0" applyNumberFormat="1" applyFont="1" applyFill="1" applyBorder="1"/>
    <xf numFmtId="10" fontId="24" fillId="0" borderId="0" xfId="0" applyNumberFormat="1" applyFont="1" applyFill="1" applyBorder="1"/>
    <xf numFmtId="14" fontId="24" fillId="0" borderId="0" xfId="0" applyNumberFormat="1" applyFont="1" applyFill="1" applyBorder="1"/>
    <xf numFmtId="0" fontId="24" fillId="0" borderId="0" xfId="0" applyFont="1" applyFill="1" applyBorder="1"/>
    <xf numFmtId="8" fontId="24" fillId="0" borderId="0" xfId="0" applyNumberFormat="1" applyFont="1" applyFill="1" applyBorder="1"/>
    <xf numFmtId="4" fontId="24" fillId="0" borderId="0" xfId="0" applyNumberFormat="1" applyFont="1" applyFill="1" applyBorder="1"/>
    <xf numFmtId="10" fontId="20" fillId="0" borderId="0" xfId="0" applyNumberFormat="1" applyFont="1"/>
    <xf numFmtId="14" fontId="22" fillId="0" borderId="4" xfId="0" applyNumberFormat="1" applyFont="1" applyFill="1" applyBorder="1" applyAlignment="1">
      <alignment horizontal="left"/>
    </xf>
    <xf numFmtId="4" fontId="22" fillId="0" borderId="4" xfId="0" applyNumberFormat="1" applyFont="1" applyFill="1" applyBorder="1"/>
    <xf numFmtId="14" fontId="22" fillId="0" borderId="1" xfId="0" applyNumberFormat="1" applyFont="1" applyFill="1" applyBorder="1" applyAlignment="1">
      <alignment horizontal="left"/>
    </xf>
    <xf numFmtId="4" fontId="22" fillId="0" borderId="1" xfId="0" applyNumberFormat="1" applyFont="1" applyFill="1" applyBorder="1"/>
    <xf numFmtId="14" fontId="22" fillId="0" borderId="0" xfId="0" applyNumberFormat="1" applyFont="1" applyFill="1" applyBorder="1" applyAlignment="1">
      <alignment horizontal="left"/>
    </xf>
    <xf numFmtId="43" fontId="12" fillId="0" borderId="0" xfId="1" applyFont="1" applyFill="1" applyBorder="1"/>
    <xf numFmtId="10" fontId="12" fillId="0" borderId="0" xfId="4" applyNumberFormat="1" applyFont="1" applyFill="1" applyBorder="1"/>
    <xf numFmtId="167" fontId="12" fillId="0" borderId="0" xfId="4" applyNumberFormat="1" applyFont="1" applyFill="1" applyBorder="1"/>
    <xf numFmtId="0" fontId="10" fillId="0" borderId="0" xfId="0" applyFont="1" applyAlignment="1">
      <alignment horizontal="right"/>
    </xf>
    <xf numFmtId="0" fontId="7" fillId="0" borderId="0" xfId="0" applyFont="1" applyAlignment="1">
      <alignment horizontal="centerContinuous"/>
    </xf>
    <xf numFmtId="0" fontId="10" fillId="0" borderId="0" xfId="0" applyFont="1" applyBorder="1" applyAlignment="1">
      <alignment horizontal="centerContinuous"/>
    </xf>
    <xf numFmtId="0" fontId="10" fillId="0" borderId="2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25" fillId="0" borderId="0" xfId="0" applyFont="1" applyAlignment="1">
      <alignment horizontal="center"/>
    </xf>
    <xf numFmtId="5" fontId="10" fillId="0" borderId="2" xfId="2" applyNumberFormat="1" applyFont="1" applyBorder="1"/>
    <xf numFmtId="5" fontId="10" fillId="0" borderId="0" xfId="2" applyNumberFormat="1" applyFont="1" applyBorder="1"/>
    <xf numFmtId="5" fontId="10" fillId="0" borderId="5" xfId="2" applyNumberFormat="1" applyFont="1" applyBorder="1"/>
    <xf numFmtId="5" fontId="10" fillId="0" borderId="0" xfId="0" applyNumberFormat="1" applyFont="1"/>
    <xf numFmtId="0" fontId="10" fillId="0" borderId="2" xfId="0" quotePrefix="1" applyNumberFormat="1" applyFont="1" applyBorder="1" applyAlignment="1">
      <alignment horizontal="center"/>
    </xf>
    <xf numFmtId="43" fontId="10" fillId="0" borderId="0" xfId="1" applyFont="1"/>
    <xf numFmtId="7" fontId="10" fillId="0" borderId="0" xfId="0" applyNumberFormat="1" applyFont="1"/>
    <xf numFmtId="0" fontId="16" fillId="0" borderId="0" xfId="0" applyFont="1" applyFill="1" applyBorder="1" applyAlignment="1">
      <alignment horizontal="centerContinuous"/>
    </xf>
    <xf numFmtId="0" fontId="30" fillId="0" borderId="0" xfId="0" applyFont="1" applyFill="1" applyBorder="1"/>
    <xf numFmtId="14" fontId="30" fillId="0" borderId="0" xfId="0" applyNumberFormat="1" applyFont="1" applyFill="1" applyBorder="1"/>
    <xf numFmtId="4" fontId="2" fillId="0" borderId="2" xfId="0" applyNumberFormat="1" applyFont="1" applyFill="1" applyBorder="1"/>
    <xf numFmtId="14" fontId="10" fillId="0" borderId="2" xfId="0" quotePrefix="1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centerContinuous"/>
    </xf>
    <xf numFmtId="0" fontId="12" fillId="0" borderId="0" xfId="0" applyFont="1" applyFill="1" applyBorder="1" applyAlignment="1"/>
    <xf numFmtId="10" fontId="12" fillId="0" borderId="0" xfId="0" applyNumberFormat="1" applyFont="1" applyFill="1" applyBorder="1" applyAlignment="1">
      <alignment horizontal="right"/>
    </xf>
    <xf numFmtId="0" fontId="22" fillId="3" borderId="1" xfId="0" applyFont="1" applyFill="1" applyBorder="1" applyAlignment="1">
      <alignment horizontal="left"/>
    </xf>
    <xf numFmtId="0" fontId="22" fillId="3" borderId="1" xfId="0" applyFont="1" applyFill="1" applyBorder="1"/>
    <xf numFmtId="0" fontId="22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4" fillId="0" borderId="0" xfId="0" applyFont="1"/>
    <xf numFmtId="44" fontId="4" fillId="0" borderId="0" xfId="2" applyFont="1"/>
    <xf numFmtId="0" fontId="4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Border="1"/>
    <xf numFmtId="0" fontId="31" fillId="0" borderId="0" xfId="0" applyFont="1" applyAlignment="1">
      <alignment horizontal="right"/>
    </xf>
    <xf numFmtId="0" fontId="5" fillId="0" borderId="0" xfId="0" applyFont="1"/>
    <xf numFmtId="165" fontId="5" fillId="0" borderId="0" xfId="0" applyNumberFormat="1" applyFont="1"/>
    <xf numFmtId="168" fontId="5" fillId="0" borderId="0" xfId="0" applyNumberFormat="1" applyFont="1"/>
    <xf numFmtId="0" fontId="32" fillId="0" borderId="0" xfId="0" applyFont="1" applyAlignment="1">
      <alignment horizontal="right"/>
    </xf>
    <xf numFmtId="165" fontId="4" fillId="0" borderId="0" xfId="0" applyNumberFormat="1" applyFont="1"/>
    <xf numFmtId="0" fontId="4" fillId="0" borderId="0" xfId="0" applyFont="1" applyBorder="1"/>
    <xf numFmtId="0" fontId="3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33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4" fontId="4" fillId="0" borderId="0" xfId="2" applyFont="1" applyBorder="1"/>
    <xf numFmtId="0" fontId="4" fillId="0" borderId="0" xfId="0" applyFont="1" applyFill="1" applyBorder="1" applyAlignment="1">
      <alignment horizontal="left"/>
    </xf>
    <xf numFmtId="165" fontId="4" fillId="0" borderId="2" xfId="0" applyNumberFormat="1" applyFont="1" applyFill="1" applyBorder="1"/>
    <xf numFmtId="4" fontId="4" fillId="0" borderId="2" xfId="0" applyNumberFormat="1" applyFont="1" applyFill="1" applyBorder="1"/>
    <xf numFmtId="10" fontId="4" fillId="0" borderId="2" xfId="4" applyNumberFormat="1" applyFont="1" applyFill="1" applyBorder="1" applyAlignment="1">
      <alignment horizontal="center"/>
    </xf>
    <xf numFmtId="0" fontId="4" fillId="0" borderId="0" xfId="0" applyFont="1" applyFill="1"/>
    <xf numFmtId="165" fontId="4" fillId="0" borderId="0" xfId="0" applyNumberFormat="1" applyFont="1" applyFill="1" applyBorder="1"/>
    <xf numFmtId="166" fontId="4" fillId="0" borderId="0" xfId="4" applyNumberFormat="1" applyFont="1" applyFill="1"/>
    <xf numFmtId="169" fontId="4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center"/>
    </xf>
    <xf numFmtId="0" fontId="4" fillId="4" borderId="0" xfId="0" applyFont="1" applyFill="1"/>
    <xf numFmtId="165" fontId="4" fillId="4" borderId="0" xfId="0" applyNumberFormat="1" applyFont="1" applyFill="1" applyBorder="1" applyAlignment="1" applyProtection="1">
      <alignment horizontal="right"/>
    </xf>
    <xf numFmtId="4" fontId="4" fillId="4" borderId="0" xfId="0" applyNumberFormat="1" applyFont="1" applyFill="1" applyBorder="1" applyAlignment="1" applyProtection="1">
      <alignment horizontal="right"/>
    </xf>
    <xf numFmtId="165" fontId="4" fillId="0" borderId="0" xfId="0" applyNumberFormat="1" applyFont="1" applyFill="1" applyAlignment="1">
      <alignment horizontal="center"/>
    </xf>
    <xf numFmtId="43" fontId="4" fillId="0" borderId="0" xfId="0" applyNumberFormat="1" applyFont="1" applyFill="1" applyBorder="1"/>
    <xf numFmtId="165" fontId="4" fillId="0" borderId="0" xfId="4" applyNumberFormat="1" applyFont="1"/>
    <xf numFmtId="4" fontId="4" fillId="4" borderId="2" xfId="0" applyNumberFormat="1" applyFont="1" applyFill="1" applyBorder="1" applyAlignment="1" applyProtection="1">
      <alignment horizontal="right"/>
    </xf>
    <xf numFmtId="4" fontId="4" fillId="0" borderId="0" xfId="0" applyNumberFormat="1" applyFont="1" applyFill="1" applyBorder="1" applyAlignment="1" applyProtection="1">
      <alignment horizontal="right"/>
    </xf>
    <xf numFmtId="4" fontId="28" fillId="0" borderId="0" xfId="0" applyNumberFormat="1" applyFont="1" applyFill="1" applyBorder="1" applyAlignment="1" applyProtection="1">
      <alignment horizontal="right"/>
    </xf>
    <xf numFmtId="4" fontId="28" fillId="0" borderId="0" xfId="0" applyNumberFormat="1" applyFont="1" applyFill="1" applyBorder="1" applyAlignment="1" applyProtection="1">
      <alignment horizontal="center"/>
    </xf>
    <xf numFmtId="165" fontId="4" fillId="0" borderId="0" xfId="2" applyNumberFormat="1" applyFont="1"/>
    <xf numFmtId="170" fontId="4" fillId="0" borderId="0" xfId="1" applyNumberFormat="1" applyFont="1" applyFill="1" applyAlignment="1">
      <alignment horizontal="center"/>
    </xf>
    <xf numFmtId="44" fontId="4" fillId="0" borderId="0" xfId="0" applyNumberFormat="1" applyFont="1"/>
    <xf numFmtId="165" fontId="4" fillId="0" borderId="5" xfId="0" applyNumberFormat="1" applyFont="1" applyFill="1" applyBorder="1"/>
    <xf numFmtId="10" fontId="4" fillId="0" borderId="0" xfId="4" applyNumberFormat="1" applyFont="1" applyFill="1"/>
    <xf numFmtId="9" fontId="4" fillId="0" borderId="0" xfId="0" applyNumberFormat="1" applyFont="1"/>
    <xf numFmtId="4" fontId="4" fillId="0" borderId="0" xfId="0" applyNumberFormat="1" applyFont="1"/>
    <xf numFmtId="165" fontId="29" fillId="0" borderId="0" xfId="0" applyNumberFormat="1" applyFont="1" applyFill="1" applyBorder="1"/>
    <xf numFmtId="44" fontId="4" fillId="0" borderId="0" xfId="2" applyNumberFormat="1" applyFont="1"/>
    <xf numFmtId="165" fontId="4" fillId="0" borderId="0" xfId="0" applyNumberFormat="1" applyFont="1" applyFill="1" applyBorder="1" applyAlignment="1">
      <alignment horizontal="center"/>
    </xf>
    <xf numFmtId="10" fontId="4" fillId="0" borderId="0" xfId="4" applyNumberFormat="1" applyFont="1"/>
    <xf numFmtId="44" fontId="4" fillId="0" borderId="0" xfId="2" applyNumberFormat="1" applyFont="1" applyAlignment="1">
      <alignment horizontal="center"/>
    </xf>
    <xf numFmtId="43" fontId="4" fillId="0" borderId="0" xfId="1" applyFont="1"/>
    <xf numFmtId="171" fontId="4" fillId="0" borderId="0" xfId="0" applyNumberFormat="1" applyFont="1" applyAlignment="1">
      <alignment horizontal="left"/>
    </xf>
    <xf numFmtId="14" fontId="4" fillId="0" borderId="0" xfId="0" applyNumberFormat="1" applyFont="1"/>
    <xf numFmtId="170" fontId="4" fillId="0" borderId="0" xfId="1" applyNumberFormat="1" applyFont="1" applyFill="1" applyBorder="1"/>
    <xf numFmtId="172" fontId="4" fillId="0" borderId="0" xfId="1" applyNumberFormat="1" applyFont="1"/>
    <xf numFmtId="10" fontId="12" fillId="0" borderId="1" xfId="4" applyNumberFormat="1" applyFont="1" applyFill="1" applyBorder="1"/>
    <xf numFmtId="10" fontId="22" fillId="0" borderId="0" xfId="4" applyNumberFormat="1" applyFont="1" applyFill="1" applyBorder="1"/>
    <xf numFmtId="10" fontId="20" fillId="0" borderId="0" xfId="4" applyNumberFormat="1" applyFont="1" applyBorder="1"/>
    <xf numFmtId="10" fontId="22" fillId="0" borderId="8" xfId="4" applyNumberFormat="1" applyFont="1" applyFill="1" applyBorder="1" applyAlignment="1">
      <alignment horizontal="right"/>
    </xf>
    <xf numFmtId="10" fontId="22" fillId="0" borderId="0" xfId="4" applyNumberFormat="1" applyFont="1" applyFill="1" applyBorder="1" applyAlignment="1">
      <alignment horizontal="right"/>
    </xf>
    <xf numFmtId="10" fontId="22" fillId="0" borderId="4" xfId="4" applyNumberFormat="1" applyFont="1" applyFill="1" applyBorder="1"/>
    <xf numFmtId="10" fontId="22" fillId="0" borderId="1" xfId="4" applyNumberFormat="1" applyFont="1" applyFill="1" applyBorder="1"/>
    <xf numFmtId="10" fontId="20" fillId="0" borderId="0" xfId="4" applyNumberFormat="1" applyFont="1"/>
    <xf numFmtId="10" fontId="12" fillId="0" borderId="0" xfId="4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Continuous"/>
    </xf>
    <xf numFmtId="164" fontId="34" fillId="0" borderId="0" xfId="0" applyNumberFormat="1" applyFont="1" applyFill="1" applyBorder="1" applyAlignment="1">
      <alignment horizontal="centerContinuous"/>
    </xf>
    <xf numFmtId="0" fontId="34" fillId="0" borderId="0" xfId="0" applyFont="1" applyFill="1" applyBorder="1" applyAlignment="1">
      <alignment horizontal="centerContinuous"/>
    </xf>
    <xf numFmtId="0" fontId="34" fillId="0" borderId="0" xfId="0" applyFont="1" applyFill="1" applyBorder="1" applyAlignment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4" fontId="10" fillId="0" borderId="4" xfId="0" applyNumberFormat="1" applyFont="1" applyBorder="1" applyAlignment="1">
      <alignment horizontal="center"/>
    </xf>
    <xf numFmtId="171" fontId="12" fillId="0" borderId="0" xfId="0" applyNumberFormat="1" applyFont="1" applyAlignment="1">
      <alignment horizontal="left"/>
    </xf>
    <xf numFmtId="171" fontId="4" fillId="0" borderId="0" xfId="0" applyNumberFormat="1" applyFont="1" applyAlignment="1">
      <alignment horizontal="left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2"/>
      <rgbColor rgb="00FFFFFF"/>
      <rgbColor rgb="00D1F7B7"/>
      <rgbColor rgb="0000FF00"/>
      <rgbColor rgb="000000FA"/>
      <rgbColor rgb="00FFFF00"/>
      <rgbColor rgb="00C4D6EC"/>
      <rgbColor rgb="0000FFFF"/>
      <rgbColor rgb="00FBD5C9"/>
      <rgbColor rgb="00007B00"/>
      <rgbColor rgb="00000080"/>
      <rgbColor rgb="00808000"/>
      <rgbColor rgb="00000002"/>
      <rgbColor rgb="00FFFFFF"/>
      <rgbColor rgb="00000005"/>
      <rgbColor rgb="00969696"/>
      <rgbColor rgb="00F4B720"/>
      <rgbColor rgb="0027915F"/>
      <rgbColor rgb="0080D4E8"/>
      <rgbColor rgb="00F2673C"/>
      <rgbColor rgb="0072E873"/>
      <rgbColor rgb="000083C3"/>
      <rgbColor rgb="00FF81B1"/>
      <rgbColor rgb="00A4374A"/>
      <rgbColor rgb="00969696"/>
      <rgbColor rgb="0099BADD"/>
      <rgbColor rgb="00E0F878"/>
      <rgbColor rgb="00A97F3B"/>
      <rgbColor rgb="001600F5"/>
      <rgbColor rgb="00FFF9D7"/>
      <rgbColor rgb="00CBEDF5"/>
      <rgbColor rgb="00D4ECD7"/>
      <rgbColor rgb="0000F6F6"/>
      <rgbColor rgb="00FF93FF"/>
      <rgbColor rgb="0000FF00"/>
      <rgbColor rgb="00FFBA75"/>
      <rgbColor rgb="008F21FF"/>
      <rgbColor rgb="007F7F7F"/>
      <rgbColor rgb="00FF0000"/>
      <rgbColor rgb="00000000"/>
      <rgbColor rgb="00FAE34C"/>
      <rgbColor rgb="00ACEAC1"/>
      <rgbColor rgb="00CBEDF5"/>
      <rgbColor rgb="00FBD5C9"/>
      <rgbColor rgb="00D1F7B7"/>
      <rgbColor rgb="008FDAFF"/>
      <rgbColor rgb="00FFC8C1"/>
      <rgbColor rgb="00E193B1"/>
      <rgbColor rgb="00D9D9D9"/>
      <rgbColor rgb="00C4D7EC"/>
      <rgbColor rgb="00EFFBBB"/>
      <rgbColor rgb="00CCA76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4"/>
  <sheetViews>
    <sheetView tabSelected="1" zoomScaleNormal="100" workbookViewId="0">
      <selection activeCell="A8" sqref="A8"/>
    </sheetView>
  </sheetViews>
  <sheetFormatPr defaultColWidth="9.33203125" defaultRowHeight="13.9" x14ac:dyDescent="0.4"/>
  <cols>
    <col min="1" max="1" width="58.4140625" style="128" customWidth="1"/>
    <col min="2" max="2" width="18.4140625" style="128" customWidth="1"/>
    <col min="3" max="3" width="18.4140625" style="128" hidden="1" customWidth="1"/>
    <col min="4" max="4" width="17.08203125" style="128" hidden="1" customWidth="1"/>
    <col min="5" max="5" width="1" style="128" customWidth="1"/>
    <col min="6" max="6" width="10.33203125" style="130" customWidth="1"/>
    <col min="7" max="7" width="1" style="128" customWidth="1"/>
    <col min="8" max="8" width="13" style="130" customWidth="1"/>
    <col min="9" max="9" width="1" style="128" customWidth="1"/>
    <col min="10" max="10" width="15.75" style="128" customWidth="1"/>
    <col min="11" max="11" width="1" style="128" customWidth="1"/>
    <col min="12" max="12" width="15.75" style="128" customWidth="1"/>
    <col min="13" max="13" width="10.4140625" style="128" customWidth="1"/>
    <col min="14" max="14" width="4.33203125" style="128" customWidth="1"/>
    <col min="15" max="15" width="17.6640625" style="128" customWidth="1"/>
    <col min="16" max="16" width="16.08203125" style="128" customWidth="1"/>
    <col min="17" max="17" width="15.4140625" style="128" customWidth="1"/>
    <col min="18" max="18" width="9.33203125" style="128"/>
    <col min="19" max="19" width="21.08203125" style="129" customWidth="1"/>
    <col min="20" max="20" width="18" style="128" bestFit="1" customWidth="1"/>
    <col min="21" max="16384" width="9.33203125" style="128"/>
  </cols>
  <sheetData>
    <row r="1" spans="1:19" ht="28.15" x14ac:dyDescent="0.75">
      <c r="A1" s="196" t="s">
        <v>1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9" ht="24.75" x14ac:dyDescent="0.65">
      <c r="A2" s="197" t="s">
        <v>2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9" ht="17.649999999999999" x14ac:dyDescent="0.5">
      <c r="J3" s="131"/>
      <c r="K3" s="132"/>
      <c r="L3" s="133"/>
    </row>
    <row r="4" spans="1:19" ht="17.649999999999999" x14ac:dyDescent="0.5">
      <c r="A4" s="134" t="s">
        <v>0</v>
      </c>
      <c r="B4" s="135">
        <v>55948926.100000001</v>
      </c>
      <c r="C4" s="136">
        <v>881905000</v>
      </c>
      <c r="D4" s="136">
        <f>SUM(B4:C4)</f>
        <v>937853926.10000002</v>
      </c>
      <c r="J4" s="131"/>
      <c r="K4" s="132"/>
      <c r="L4" s="137"/>
    </row>
    <row r="5" spans="1:19" x14ac:dyDescent="0.4">
      <c r="D5" s="138"/>
      <c r="K5" s="139"/>
    </row>
    <row r="6" spans="1:19" x14ac:dyDescent="0.4">
      <c r="D6" s="140"/>
      <c r="J6" s="198" t="s">
        <v>4</v>
      </c>
      <c r="K6" s="198"/>
      <c r="L6" s="198"/>
    </row>
    <row r="7" spans="1:19" x14ac:dyDescent="0.4">
      <c r="A7" s="142"/>
      <c r="B7" s="143"/>
      <c r="C7" s="143"/>
      <c r="D7" s="143" t="e">
        <v>#VALUE!</v>
      </c>
      <c r="J7" s="143" t="s">
        <v>5</v>
      </c>
      <c r="K7" s="139"/>
      <c r="L7" s="143" t="s">
        <v>7</v>
      </c>
    </row>
    <row r="8" spans="1:19" x14ac:dyDescent="0.4">
      <c r="B8" s="141" t="s">
        <v>3</v>
      </c>
      <c r="C8" s="141" t="e">
        <v>#VALUE!</v>
      </c>
      <c r="D8" s="141" t="e">
        <v>#VALUE!</v>
      </c>
      <c r="J8" s="141" t="s">
        <v>6</v>
      </c>
      <c r="K8" s="139"/>
      <c r="L8" s="141" t="s">
        <v>6</v>
      </c>
    </row>
    <row r="9" spans="1:19" s="139" customFormat="1" ht="10.050000000000001" customHeight="1" x14ac:dyDescent="0.4">
      <c r="B9" s="144"/>
      <c r="C9" s="144"/>
      <c r="D9" s="144"/>
      <c r="F9" s="145"/>
      <c r="H9" s="145"/>
      <c r="J9" s="144"/>
      <c r="L9" s="144"/>
      <c r="S9" s="146"/>
    </row>
    <row r="10" spans="1:19" x14ac:dyDescent="0.4">
      <c r="A10" s="147" t="s">
        <v>10</v>
      </c>
      <c r="B10" s="148">
        <f>B4/1000*1</f>
        <v>55948.926100000004</v>
      </c>
      <c r="C10" s="148"/>
      <c r="D10" s="149">
        <f>SUM(B10:C10)</f>
        <v>55948.926100000004</v>
      </c>
      <c r="E10" s="5"/>
      <c r="F10" s="150">
        <v>1</v>
      </c>
      <c r="G10" s="5"/>
      <c r="H10" s="7"/>
      <c r="I10" s="151"/>
      <c r="J10" s="148">
        <f>IF(H10&lt;&gt;"",D10,0)</f>
        <v>0</v>
      </c>
      <c r="K10" s="5"/>
      <c r="L10" s="148">
        <f>+D10</f>
        <v>55948.926100000004</v>
      </c>
      <c r="M10" s="151"/>
    </row>
    <row r="11" spans="1:19" ht="8.25" customHeight="1" x14ac:dyDescent="0.4">
      <c r="A11" s="4"/>
      <c r="B11" s="4"/>
      <c r="C11" s="4"/>
      <c r="D11" s="4"/>
      <c r="E11" s="4"/>
      <c r="F11" s="7"/>
      <c r="G11" s="4"/>
      <c r="H11" s="7"/>
      <c r="I11" s="151"/>
      <c r="J11" s="151"/>
      <c r="K11" s="4"/>
      <c r="L11" s="151"/>
      <c r="M11" s="151"/>
    </row>
    <row r="12" spans="1:19" x14ac:dyDescent="0.4">
      <c r="A12" s="4" t="s">
        <v>11</v>
      </c>
      <c r="B12" s="152">
        <f>SUM(B10:B11)</f>
        <v>55948.926100000004</v>
      </c>
      <c r="C12" s="152"/>
      <c r="D12" s="152">
        <f>SUM(D10:D10)</f>
        <v>55948.926100000004</v>
      </c>
      <c r="E12" s="5"/>
      <c r="F12" s="6">
        <f>SUM(F10:F10)</f>
        <v>1</v>
      </c>
      <c r="G12" s="5"/>
      <c r="H12" s="7"/>
      <c r="I12" s="151"/>
      <c r="J12" s="152">
        <f>SUM(J10:J10)</f>
        <v>0</v>
      </c>
      <c r="K12" s="152"/>
      <c r="L12" s="152">
        <f>SUM(L10:L10)</f>
        <v>55948.926100000004</v>
      </c>
      <c r="M12" s="153">
        <f>+J12/L12</f>
        <v>0</v>
      </c>
      <c r="P12" s="154"/>
    </row>
    <row r="13" spans="1:19" x14ac:dyDescent="0.4">
      <c r="B13" s="151"/>
      <c r="C13" s="151"/>
      <c r="D13" s="151"/>
      <c r="E13" s="151"/>
      <c r="F13" s="155"/>
      <c r="G13" s="151"/>
      <c r="H13" s="155"/>
      <c r="I13" s="151"/>
      <c r="J13" s="151"/>
      <c r="K13" s="4"/>
      <c r="L13" s="151"/>
      <c r="M13" s="151"/>
      <c r="P13" s="138"/>
    </row>
    <row r="14" spans="1:19" x14ac:dyDescent="0.4">
      <c r="A14" s="156" t="s">
        <v>12</v>
      </c>
      <c r="B14" s="157">
        <v>25000</v>
      </c>
      <c r="C14" s="158"/>
      <c r="D14" s="158">
        <f>SUM(B14:C14)</f>
        <v>25000</v>
      </c>
      <c r="E14" s="151"/>
      <c r="F14" s="159"/>
      <c r="G14" s="151"/>
      <c r="H14" s="155"/>
      <c r="I14" s="151"/>
      <c r="J14" s="152">
        <v>0</v>
      </c>
      <c r="K14" s="160"/>
      <c r="L14" s="152">
        <v>0</v>
      </c>
      <c r="M14" s="151"/>
      <c r="O14" s="138"/>
      <c r="P14" s="161"/>
    </row>
    <row r="15" spans="1:19" x14ac:dyDescent="0.4">
      <c r="A15" s="156" t="s">
        <v>13</v>
      </c>
      <c r="B15" s="158">
        <v>800</v>
      </c>
      <c r="C15" s="158"/>
      <c r="D15" s="158">
        <f>SUM(B15:C15)</f>
        <v>800</v>
      </c>
      <c r="E15" s="151"/>
      <c r="F15" s="155"/>
      <c r="G15" s="151"/>
      <c r="H15" s="155"/>
      <c r="I15" s="151"/>
      <c r="J15" s="5">
        <f>IF(H15&lt;&gt;"",D15,0)</f>
        <v>0</v>
      </c>
      <c r="K15" s="160"/>
      <c r="L15" s="5">
        <v>0</v>
      </c>
      <c r="M15" s="151"/>
      <c r="O15" s="138"/>
      <c r="P15" s="161"/>
    </row>
    <row r="16" spans="1:19" x14ac:dyDescent="0.4">
      <c r="A16" s="156" t="s">
        <v>14</v>
      </c>
      <c r="B16" s="162">
        <v>434</v>
      </c>
      <c r="C16" s="162"/>
      <c r="D16" s="162">
        <f>SUM(B16:C16)</f>
        <v>434</v>
      </c>
      <c r="E16" s="151"/>
      <c r="F16" s="155"/>
      <c r="G16" s="151"/>
      <c r="H16" s="151"/>
      <c r="I16" s="151"/>
      <c r="J16" s="149">
        <f>IF(H16&lt;&gt;"",D16,0)</f>
        <v>0</v>
      </c>
      <c r="K16" s="160"/>
      <c r="L16" s="149">
        <v>0</v>
      </c>
      <c r="M16" s="151"/>
      <c r="O16" s="138"/>
      <c r="P16" s="138"/>
    </row>
    <row r="17" spans="1:20" ht="9.5" customHeight="1" x14ac:dyDescent="0.4">
      <c r="B17" s="163"/>
      <c r="C17" s="163"/>
      <c r="D17" s="163"/>
      <c r="E17" s="151"/>
      <c r="F17" s="155"/>
      <c r="G17" s="151"/>
      <c r="H17" s="151"/>
      <c r="I17" s="151"/>
      <c r="J17" s="151"/>
      <c r="K17" s="4"/>
      <c r="L17" s="151"/>
      <c r="M17" s="151"/>
    </row>
    <row r="18" spans="1:20" x14ac:dyDescent="0.4">
      <c r="A18" s="128" t="s">
        <v>15</v>
      </c>
      <c r="B18" s="152">
        <f>SUM(B12:B16)</f>
        <v>82182.926100000012</v>
      </c>
      <c r="C18" s="152"/>
      <c r="D18" s="152">
        <f>SUM(D12:D16)</f>
        <v>82182.926100000012</v>
      </c>
      <c r="E18" s="151"/>
      <c r="F18" s="155"/>
      <c r="G18" s="151"/>
      <c r="H18" s="155"/>
      <c r="I18" s="151"/>
      <c r="J18" s="152">
        <f>SUM(J12:J16)</f>
        <v>0</v>
      </c>
      <c r="K18" s="4"/>
      <c r="L18" s="152">
        <f>SUM(L12:L16)</f>
        <v>55948.926100000004</v>
      </c>
      <c r="M18" s="153">
        <f>+J18/L18</f>
        <v>0</v>
      </c>
    </row>
    <row r="19" spans="1:20" x14ac:dyDescent="0.4">
      <c r="B19" s="151"/>
      <c r="C19" s="151"/>
      <c r="D19" s="151"/>
      <c r="E19" s="151"/>
      <c r="F19" s="155"/>
      <c r="G19" s="151"/>
      <c r="H19" s="155"/>
      <c r="I19" s="151"/>
      <c r="J19" s="151"/>
      <c r="K19" s="4"/>
      <c r="L19" s="151"/>
      <c r="M19" s="151"/>
    </row>
    <row r="20" spans="1:20" x14ac:dyDescent="0.4">
      <c r="A20" s="128" t="s">
        <v>16</v>
      </c>
      <c r="B20" s="152">
        <v>42380</v>
      </c>
      <c r="C20" s="152"/>
      <c r="D20" s="152">
        <f>SUM(B20:C20)</f>
        <v>42380</v>
      </c>
      <c r="E20" s="164"/>
      <c r="F20" s="165"/>
      <c r="G20" s="164"/>
      <c r="H20" s="155"/>
      <c r="I20" s="151"/>
      <c r="J20" s="152">
        <v>0</v>
      </c>
      <c r="K20" s="160"/>
      <c r="L20" s="152">
        <f t="shared" ref="L20:L28" si="0">+D20</f>
        <v>42380</v>
      </c>
      <c r="M20" s="151"/>
    </row>
    <row r="21" spans="1:20" x14ac:dyDescent="0.4">
      <c r="A21" s="128" t="s">
        <v>17</v>
      </c>
      <c r="B21" s="163">
        <v>32500</v>
      </c>
      <c r="C21" s="163"/>
      <c r="D21" s="5">
        <f t="shared" ref="D21:D28" si="1">SUM(B21:C21)</f>
        <v>32500</v>
      </c>
      <c r="E21" s="164"/>
      <c r="F21" s="165"/>
      <c r="G21" s="164"/>
      <c r="H21" s="155" t="s">
        <v>8</v>
      </c>
      <c r="I21" s="151"/>
      <c r="J21" s="5">
        <f>IF(H21&lt;&gt;"",D21,0)</f>
        <v>32500</v>
      </c>
      <c r="K21" s="160"/>
      <c r="L21" s="5">
        <f t="shared" si="0"/>
        <v>32500</v>
      </c>
      <c r="M21" s="151"/>
      <c r="S21" s="166"/>
    </row>
    <row r="22" spans="1:20" x14ac:dyDescent="0.4">
      <c r="A22" s="128" t="s">
        <v>18</v>
      </c>
      <c r="B22" s="163">
        <v>30000</v>
      </c>
      <c r="C22" s="163"/>
      <c r="D22" s="5">
        <f t="shared" si="1"/>
        <v>30000</v>
      </c>
      <c r="E22" s="151"/>
      <c r="F22" s="167"/>
      <c r="G22" s="151"/>
      <c r="H22" s="155" t="s">
        <v>9</v>
      </c>
      <c r="I22" s="151"/>
      <c r="J22" s="5">
        <f>IF(H22&lt;&gt;"",D22,0)</f>
        <v>30000</v>
      </c>
      <c r="K22" s="160"/>
      <c r="L22" s="5">
        <f t="shared" si="0"/>
        <v>30000</v>
      </c>
      <c r="M22" s="151"/>
      <c r="P22" s="138"/>
      <c r="T22" s="168"/>
    </row>
    <row r="23" spans="1:20" x14ac:dyDescent="0.4">
      <c r="A23" s="128" t="s">
        <v>19</v>
      </c>
      <c r="B23" s="163">
        <v>71250</v>
      </c>
      <c r="C23" s="163"/>
      <c r="D23" s="5">
        <f t="shared" si="1"/>
        <v>71250</v>
      </c>
      <c r="E23" s="164"/>
      <c r="F23" s="165"/>
      <c r="G23" s="164"/>
      <c r="H23" s="155"/>
      <c r="I23" s="151"/>
      <c r="J23" s="5">
        <f>IF(H23&lt;&gt;"",D23,0)</f>
        <v>0</v>
      </c>
      <c r="K23" s="160"/>
      <c r="L23" s="5">
        <f t="shared" si="0"/>
        <v>71250</v>
      </c>
      <c r="M23" s="151"/>
      <c r="T23" s="168"/>
    </row>
    <row r="24" spans="1:20" s="129" customFormat="1" hidden="1" x14ac:dyDescent="0.4">
      <c r="A24" s="128" t="s">
        <v>20</v>
      </c>
      <c r="B24" s="163"/>
      <c r="C24" s="163"/>
      <c r="D24" s="5">
        <f t="shared" si="1"/>
        <v>0</v>
      </c>
      <c r="E24" s="164"/>
      <c r="F24" s="165"/>
      <c r="G24" s="164"/>
      <c r="H24" s="155"/>
      <c r="I24" s="151"/>
      <c r="J24" s="5">
        <f>IF(H24&lt;&gt;"",D24,0)</f>
        <v>0</v>
      </c>
      <c r="K24" s="160"/>
      <c r="L24" s="5">
        <f t="shared" si="0"/>
        <v>0</v>
      </c>
      <c r="M24" s="151"/>
      <c r="N24" s="128"/>
      <c r="O24" s="128"/>
      <c r="P24" s="128"/>
      <c r="Q24" s="128"/>
      <c r="R24" s="128"/>
    </row>
    <row r="25" spans="1:20" s="129" customFormat="1" x14ac:dyDescent="0.4">
      <c r="A25" s="128" t="s">
        <v>21</v>
      </c>
      <c r="B25" s="163">
        <v>6400</v>
      </c>
      <c r="C25" s="163"/>
      <c r="D25" s="5">
        <f t="shared" si="1"/>
        <v>6400</v>
      </c>
      <c r="E25" s="164"/>
      <c r="F25" s="165"/>
      <c r="G25" s="164"/>
      <c r="H25" s="155"/>
      <c r="I25" s="151"/>
      <c r="J25" s="5">
        <f>IF(H25&lt;&gt;"",D25,0)</f>
        <v>0</v>
      </c>
      <c r="K25" s="160"/>
      <c r="L25" s="5">
        <f t="shared" si="0"/>
        <v>6400</v>
      </c>
      <c r="M25" s="151"/>
      <c r="N25" s="128"/>
      <c r="O25" s="128"/>
      <c r="P25" s="128"/>
      <c r="Q25" s="128"/>
      <c r="R25" s="128"/>
    </row>
    <row r="26" spans="1:20" s="129" customFormat="1" x14ac:dyDescent="0.4">
      <c r="A26" s="128" t="s">
        <v>22</v>
      </c>
      <c r="B26" s="163">
        <v>300</v>
      </c>
      <c r="C26" s="163"/>
      <c r="D26" s="5">
        <f t="shared" si="1"/>
        <v>300</v>
      </c>
      <c r="E26" s="164"/>
      <c r="F26" s="165"/>
      <c r="G26" s="164"/>
      <c r="H26" s="155"/>
      <c r="I26" s="151"/>
      <c r="J26" s="5">
        <v>0</v>
      </c>
      <c r="K26" s="160"/>
      <c r="L26" s="5">
        <f t="shared" si="0"/>
        <v>300</v>
      </c>
      <c r="M26" s="151"/>
      <c r="N26" s="128"/>
      <c r="O26" s="128"/>
      <c r="P26" s="128"/>
      <c r="Q26" s="128"/>
      <c r="R26" s="128"/>
    </row>
    <row r="27" spans="1:20" s="129" customFormat="1" x14ac:dyDescent="0.4">
      <c r="A27" s="151" t="s">
        <v>23</v>
      </c>
      <c r="B27" s="163">
        <v>0</v>
      </c>
      <c r="C27" s="163"/>
      <c r="D27" s="5">
        <f t="shared" si="1"/>
        <v>0</v>
      </c>
      <c r="E27" s="164"/>
      <c r="F27" s="165"/>
      <c r="G27" s="164"/>
      <c r="H27" s="155"/>
      <c r="I27" s="151"/>
      <c r="J27" s="5">
        <v>0</v>
      </c>
      <c r="K27" s="160"/>
      <c r="L27" s="5">
        <f t="shared" si="0"/>
        <v>0</v>
      </c>
      <c r="M27" s="151"/>
      <c r="N27" s="128"/>
      <c r="O27" s="128"/>
      <c r="P27" s="128"/>
      <c r="Q27" s="128"/>
      <c r="R27" s="128"/>
    </row>
    <row r="28" spans="1:20" s="129" customFormat="1" x14ac:dyDescent="0.4">
      <c r="A28" s="128" t="s">
        <v>24</v>
      </c>
      <c r="B28" s="163">
        <v>1100</v>
      </c>
      <c r="C28" s="163"/>
      <c r="D28" s="5">
        <f t="shared" si="1"/>
        <v>1100</v>
      </c>
      <c r="E28" s="164"/>
      <c r="F28" s="165"/>
      <c r="G28" s="164"/>
      <c r="H28" s="155"/>
      <c r="I28" s="151"/>
      <c r="J28" s="5">
        <f>IF(H28&lt;&gt;"",D28,0)</f>
        <v>0</v>
      </c>
      <c r="K28" s="160"/>
      <c r="L28" s="5">
        <f t="shared" si="0"/>
        <v>1100</v>
      </c>
      <c r="M28" s="151"/>
      <c r="N28" s="128"/>
      <c r="O28" s="128"/>
      <c r="P28" s="128"/>
      <c r="Q28" s="128"/>
      <c r="R28" s="128"/>
    </row>
    <row r="29" spans="1:20" s="129" customFormat="1" x14ac:dyDescent="0.4">
      <c r="A29" s="156" t="s">
        <v>25</v>
      </c>
      <c r="B29" s="162">
        <v>7499.57</v>
      </c>
      <c r="C29" s="162"/>
      <c r="D29" s="162">
        <f>SUM(B29:C29)</f>
        <v>7499.57</v>
      </c>
      <c r="E29" s="164"/>
      <c r="F29" s="165"/>
      <c r="G29" s="164"/>
      <c r="H29" s="155"/>
      <c r="I29" s="151"/>
      <c r="J29" s="149">
        <v>0</v>
      </c>
      <c r="K29" s="160"/>
      <c r="L29" s="149">
        <v>0</v>
      </c>
      <c r="M29" s="151"/>
      <c r="N29" s="128"/>
      <c r="O29" s="128"/>
      <c r="P29" s="128"/>
      <c r="Q29" s="128"/>
      <c r="R29" s="128"/>
    </row>
    <row r="30" spans="1:20" s="129" customFormat="1" x14ac:dyDescent="0.4">
      <c r="A30" s="128"/>
      <c r="B30" s="151"/>
      <c r="C30" s="151"/>
      <c r="D30" s="151"/>
      <c r="E30" s="151"/>
      <c r="F30" s="155"/>
      <c r="G30" s="151"/>
      <c r="H30" s="155"/>
      <c r="I30" s="151"/>
      <c r="J30" s="151"/>
      <c r="K30" s="4"/>
      <c r="L30" s="151"/>
      <c r="M30" s="151"/>
      <c r="N30" s="128"/>
      <c r="O30" s="128"/>
      <c r="P30" s="128"/>
      <c r="Q30" s="128"/>
      <c r="R30" s="128"/>
    </row>
    <row r="31" spans="1:20" s="129" customFormat="1" ht="14.25" thickBot="1" x14ac:dyDescent="0.45">
      <c r="A31" s="128" t="s">
        <v>26</v>
      </c>
      <c r="B31" s="169">
        <f>SUM(B18:B29)</f>
        <v>273612.49610000005</v>
      </c>
      <c r="C31" s="169">
        <f>SUM(C18:C29)</f>
        <v>0</v>
      </c>
      <c r="D31" s="169">
        <f>SUM(D18:D29)</f>
        <v>273612.49610000005</v>
      </c>
      <c r="E31" s="151"/>
      <c r="F31" s="155"/>
      <c r="G31" s="151"/>
      <c r="H31" s="155"/>
      <c r="I31" s="151"/>
      <c r="J31" s="169">
        <f>SUM(J18:J29)</f>
        <v>62500</v>
      </c>
      <c r="K31" s="152"/>
      <c r="L31" s="169">
        <f>SUM(L18:L29)</f>
        <v>239878.92610000001</v>
      </c>
      <c r="M31" s="170">
        <f>+J31/L31</f>
        <v>0.26054810656416388</v>
      </c>
      <c r="N31" s="128"/>
      <c r="O31" s="128"/>
      <c r="P31" s="128"/>
      <c r="Q31" s="128"/>
      <c r="R31" s="128"/>
    </row>
    <row r="32" spans="1:20" s="129" customFormat="1" ht="14.25" thickTop="1" x14ac:dyDescent="0.4">
      <c r="A32" s="128"/>
      <c r="B32" s="128"/>
      <c r="C32" s="128"/>
      <c r="D32" s="128"/>
      <c r="E32" s="128"/>
      <c r="F32" s="130"/>
      <c r="G32" s="128"/>
      <c r="H32" s="130"/>
      <c r="I32" s="128"/>
      <c r="J32" s="128"/>
      <c r="K32" s="139"/>
      <c r="L32" s="128"/>
      <c r="M32" s="128"/>
      <c r="N32" s="128"/>
      <c r="O32" s="128"/>
      <c r="P32" s="134"/>
      <c r="Q32" s="128"/>
      <c r="R32" s="128"/>
    </row>
    <row r="33" spans="1:18" s="129" customFormat="1" x14ac:dyDescent="0.4">
      <c r="A33" s="128" t="s">
        <v>27</v>
      </c>
      <c r="B33" s="152"/>
      <c r="C33" s="152"/>
      <c r="D33" s="152">
        <f>SUM(D20:D29)</f>
        <v>191429.57</v>
      </c>
      <c r="E33" s="128"/>
      <c r="F33" s="130"/>
      <c r="G33" s="128"/>
      <c r="H33" s="130"/>
      <c r="I33" s="128"/>
      <c r="J33" s="130" t="s">
        <v>9</v>
      </c>
      <c r="K33" s="139"/>
      <c r="L33" s="152">
        <f>J22</f>
        <v>30000</v>
      </c>
      <c r="M33" s="170">
        <f>L33/L31</f>
        <v>0.12506309115079867</v>
      </c>
      <c r="N33" s="128"/>
      <c r="O33" s="128"/>
      <c r="P33" s="130"/>
      <c r="Q33" s="152"/>
      <c r="R33" s="171"/>
    </row>
    <row r="34" spans="1:18" s="129" customFormat="1" x14ac:dyDescent="0.4">
      <c r="A34" s="128"/>
      <c r="B34" s="172"/>
      <c r="C34" s="172"/>
      <c r="D34" s="172"/>
      <c r="E34" s="128"/>
      <c r="F34" s="130"/>
      <c r="G34" s="128"/>
      <c r="H34" s="130"/>
      <c r="I34" s="128"/>
      <c r="J34" s="130" t="s">
        <v>8</v>
      </c>
      <c r="K34" s="139"/>
      <c r="L34" s="152">
        <f>J21</f>
        <v>32500</v>
      </c>
      <c r="M34" s="170">
        <f>L34/L31</f>
        <v>0.13548501541336522</v>
      </c>
      <c r="N34" s="128"/>
      <c r="O34" s="128"/>
      <c r="P34" s="130"/>
      <c r="Q34" s="173"/>
      <c r="R34" s="171"/>
    </row>
    <row r="35" spans="1:18" s="129" customFormat="1" x14ac:dyDescent="0.4">
      <c r="A35" s="128"/>
      <c r="B35" s="128"/>
      <c r="C35" s="128"/>
      <c r="D35" s="128"/>
      <c r="E35" s="128"/>
      <c r="F35" s="130"/>
      <c r="G35" s="128"/>
      <c r="H35" s="130"/>
      <c r="I35" s="128"/>
      <c r="J35" s="128"/>
      <c r="K35" s="128"/>
      <c r="L35" s="128"/>
      <c r="M35" s="128"/>
      <c r="N35" s="128"/>
      <c r="O35" s="128"/>
      <c r="P35" s="128"/>
      <c r="Q35" s="152"/>
      <c r="R35" s="128"/>
    </row>
    <row r="36" spans="1:18" s="129" customFormat="1" hidden="1" x14ac:dyDescent="0.4">
      <c r="A36" s="128" t="e">
        <v>#VALUE!</v>
      </c>
      <c r="B36" s="128"/>
      <c r="C36" s="128"/>
      <c r="D36" s="128"/>
      <c r="E36" s="128"/>
      <c r="F36" s="130"/>
      <c r="G36" s="128"/>
      <c r="H36" s="130"/>
      <c r="I36" s="128"/>
      <c r="J36" s="174">
        <v>0</v>
      </c>
      <c r="K36" s="128"/>
      <c r="L36" s="174">
        <v>398229.67</v>
      </c>
      <c r="M36" s="128"/>
      <c r="N36" s="128"/>
      <c r="O36" s="128"/>
      <c r="P36" s="128"/>
      <c r="Q36" s="152"/>
      <c r="R36" s="128"/>
    </row>
    <row r="37" spans="1:18" s="129" customFormat="1" hidden="1" x14ac:dyDescent="0.4">
      <c r="A37" s="128"/>
      <c r="B37" s="128"/>
      <c r="C37" s="128"/>
      <c r="D37" s="128"/>
      <c r="E37" s="128"/>
      <c r="F37" s="130"/>
      <c r="G37" s="128"/>
      <c r="H37" s="130"/>
      <c r="I37" s="128"/>
      <c r="J37" s="174"/>
      <c r="K37" s="128"/>
      <c r="L37" s="174"/>
      <c r="M37" s="128"/>
      <c r="N37" s="128"/>
      <c r="O37" s="128"/>
      <c r="P37" s="128"/>
      <c r="Q37" s="152"/>
      <c r="R37" s="128"/>
    </row>
    <row r="38" spans="1:18" ht="14.25" hidden="1" thickBot="1" x14ac:dyDescent="0.45">
      <c r="J38" s="169">
        <f>J31+J36</f>
        <v>62500</v>
      </c>
      <c r="K38" s="152"/>
      <c r="L38" s="169">
        <f>L31+L36</f>
        <v>638108.59609999997</v>
      </c>
      <c r="Q38" s="152"/>
    </row>
    <row r="39" spans="1:18" hidden="1" x14ac:dyDescent="0.4">
      <c r="J39" s="152"/>
      <c r="K39" s="152"/>
      <c r="L39" s="152"/>
      <c r="Q39" s="152"/>
    </row>
    <row r="40" spans="1:18" hidden="1" x14ac:dyDescent="0.4">
      <c r="J40" s="175" t="e">
        <v>#VALUE!</v>
      </c>
      <c r="K40" s="152"/>
      <c r="L40" s="152">
        <f>L33</f>
        <v>30000</v>
      </c>
      <c r="M40" s="176">
        <f>L40/L38</f>
        <v>4.7013941174518528E-2</v>
      </c>
      <c r="Q40" s="152"/>
    </row>
    <row r="41" spans="1:18" hidden="1" x14ac:dyDescent="0.4">
      <c r="J41" s="177" t="e">
        <v>#VALUE!</v>
      </c>
      <c r="L41" s="152">
        <f>L34</f>
        <v>32500</v>
      </c>
      <c r="M41" s="176">
        <f>L41/L38</f>
        <v>5.09317696057284E-2</v>
      </c>
      <c r="Q41" s="152"/>
    </row>
    <row r="42" spans="1:18" x14ac:dyDescent="0.4">
      <c r="B42" s="178"/>
      <c r="Q42" s="152"/>
    </row>
    <row r="43" spans="1:18" x14ac:dyDescent="0.4">
      <c r="A43" s="179">
        <f ca="1">NOW()</f>
        <v>43866.674479745372</v>
      </c>
      <c r="B43" s="152"/>
      <c r="C43" s="152"/>
      <c r="D43" s="152"/>
      <c r="Q43" s="152"/>
    </row>
    <row r="44" spans="1:18" x14ac:dyDescent="0.4">
      <c r="B44" s="152"/>
      <c r="C44" s="152"/>
      <c r="D44" s="152"/>
    </row>
    <row r="45" spans="1:18" x14ac:dyDescent="0.4">
      <c r="B45" s="152"/>
      <c r="C45" s="152"/>
      <c r="D45" s="152"/>
    </row>
    <row r="46" spans="1:18" x14ac:dyDescent="0.4">
      <c r="B46" s="152"/>
      <c r="C46" s="152"/>
      <c r="D46" s="152"/>
    </row>
    <row r="47" spans="1:18" x14ac:dyDescent="0.4">
      <c r="D47" s="152"/>
    </row>
    <row r="48" spans="1:18" x14ac:dyDescent="0.4">
      <c r="D48" s="152"/>
    </row>
    <row r="49" spans="2:13" x14ac:dyDescent="0.4">
      <c r="D49" s="152"/>
    </row>
    <row r="50" spans="2:13" x14ac:dyDescent="0.4">
      <c r="D50" s="152"/>
    </row>
    <row r="51" spans="2:13" x14ac:dyDescent="0.4">
      <c r="D51" s="152"/>
    </row>
    <row r="52" spans="2:13" x14ac:dyDescent="0.4">
      <c r="B52" s="180"/>
      <c r="D52" s="152"/>
    </row>
    <row r="54" spans="2:13" x14ac:dyDescent="0.4">
      <c r="B54" s="180"/>
      <c r="C54" s="152"/>
      <c r="D54" s="152"/>
      <c r="E54" s="152"/>
      <c r="F54" s="181"/>
      <c r="G54" s="152"/>
      <c r="H54" s="152"/>
      <c r="I54" s="152"/>
      <c r="J54" s="152"/>
      <c r="K54" s="152"/>
      <c r="L54" s="152"/>
      <c r="M54" s="152"/>
    </row>
    <row r="55" spans="2:13" x14ac:dyDescent="0.4">
      <c r="B55" s="180"/>
      <c r="C55" s="152"/>
      <c r="D55" s="152"/>
      <c r="E55" s="152"/>
      <c r="F55" s="181"/>
      <c r="G55" s="152"/>
      <c r="H55" s="152"/>
      <c r="I55" s="152"/>
      <c r="J55" s="152"/>
      <c r="K55" s="152"/>
      <c r="L55" s="152"/>
      <c r="M55" s="152"/>
    </row>
    <row r="56" spans="2:13" x14ac:dyDescent="0.4">
      <c r="B56" s="180"/>
      <c r="C56" s="152"/>
      <c r="D56" s="152"/>
      <c r="E56" s="152"/>
      <c r="F56" s="181"/>
      <c r="G56" s="152"/>
      <c r="H56" s="152"/>
      <c r="I56" s="152"/>
      <c r="J56" s="152"/>
      <c r="K56" s="152"/>
      <c r="L56" s="152"/>
      <c r="M56" s="152"/>
    </row>
    <row r="57" spans="2:13" x14ac:dyDescent="0.4">
      <c r="B57" s="180"/>
      <c r="C57" s="152"/>
      <c r="D57" s="152"/>
      <c r="E57" s="152"/>
      <c r="F57" s="181"/>
      <c r="G57" s="152"/>
      <c r="H57" s="152"/>
      <c r="I57" s="152"/>
      <c r="J57" s="152"/>
      <c r="K57" s="152"/>
      <c r="L57" s="152"/>
      <c r="M57" s="152"/>
    </row>
    <row r="58" spans="2:13" x14ac:dyDescent="0.4">
      <c r="B58" s="180"/>
      <c r="C58" s="152"/>
      <c r="D58" s="152"/>
      <c r="E58" s="152"/>
      <c r="F58" s="181"/>
      <c r="G58" s="152"/>
      <c r="H58" s="152"/>
      <c r="I58" s="152"/>
      <c r="J58" s="152"/>
      <c r="K58" s="152"/>
      <c r="L58" s="152"/>
      <c r="M58" s="152"/>
    </row>
    <row r="59" spans="2:13" x14ac:dyDescent="0.4">
      <c r="B59" s="180"/>
      <c r="C59" s="152"/>
      <c r="D59" s="152"/>
      <c r="E59" s="152"/>
      <c r="F59" s="181"/>
      <c r="G59" s="152"/>
      <c r="H59" s="152"/>
      <c r="I59" s="152"/>
      <c r="J59" s="152"/>
      <c r="K59" s="152"/>
      <c r="L59" s="152"/>
      <c r="M59" s="152"/>
    </row>
    <row r="60" spans="2:13" x14ac:dyDescent="0.4">
      <c r="B60" s="180"/>
      <c r="C60" s="152"/>
      <c r="D60" s="152"/>
      <c r="E60" s="152"/>
      <c r="F60" s="181"/>
      <c r="G60" s="152"/>
      <c r="H60" s="152"/>
      <c r="I60" s="152"/>
      <c r="J60" s="152"/>
      <c r="K60" s="152"/>
      <c r="L60" s="152"/>
      <c r="M60" s="152"/>
    </row>
    <row r="61" spans="2:13" x14ac:dyDescent="0.4">
      <c r="B61" s="180"/>
      <c r="C61" s="152"/>
      <c r="D61" s="152"/>
      <c r="E61" s="152"/>
      <c r="F61" s="181"/>
      <c r="G61" s="152"/>
      <c r="H61" s="152"/>
      <c r="I61" s="152"/>
      <c r="J61" s="152"/>
      <c r="K61" s="152"/>
      <c r="L61" s="152"/>
      <c r="M61" s="152"/>
    </row>
    <row r="62" spans="2:13" x14ac:dyDescent="0.4">
      <c r="B62" s="180"/>
    </row>
    <row r="63" spans="2:13" x14ac:dyDescent="0.4">
      <c r="B63" s="180"/>
      <c r="C63" s="138"/>
      <c r="D63" s="138"/>
      <c r="J63" s="138"/>
      <c r="L63" s="138"/>
    </row>
    <row r="64" spans="2:13" x14ac:dyDescent="0.4">
      <c r="J64" s="182"/>
      <c r="K64" s="182"/>
      <c r="L64" s="182"/>
      <c r="M64" s="182"/>
    </row>
  </sheetData>
  <mergeCells count="3">
    <mergeCell ref="A1:M1"/>
    <mergeCell ref="A2:M2"/>
    <mergeCell ref="J6:L6"/>
  </mergeCells>
  <pageMargins left="0.7" right="0.7" top="0.75" bottom="0.75" header="0.3" footer="0.3"/>
  <pageSetup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A103"/>
  <sheetViews>
    <sheetView zoomScaleNormal="100" workbookViewId="0">
      <selection activeCell="E24" sqref="E24"/>
    </sheetView>
  </sheetViews>
  <sheetFormatPr defaultColWidth="10.6640625" defaultRowHeight="13.15" x14ac:dyDescent="0.4"/>
  <cols>
    <col min="1" max="1" width="10.6640625" style="39" customWidth="1"/>
    <col min="2" max="2" width="15.1640625" style="39" customWidth="1"/>
    <col min="3" max="3" width="2.83203125" style="39" customWidth="1"/>
    <col min="4" max="4" width="16.5" style="39" customWidth="1"/>
    <col min="5" max="7" width="19" style="39" bestFit="1" customWidth="1"/>
    <col min="8" max="8" width="17.1640625" style="39" customWidth="1"/>
    <col min="9" max="10" width="20.5" style="39" bestFit="1" customWidth="1"/>
    <col min="11" max="11" width="4.83203125" style="39" customWidth="1"/>
    <col min="12" max="12" width="17" style="39" customWidth="1"/>
    <col min="13" max="13" width="17.33203125" style="39" bestFit="1" customWidth="1"/>
    <col min="14" max="14" width="11.75" style="39" customWidth="1"/>
    <col min="15" max="16" width="17.33203125" style="39" bestFit="1" customWidth="1"/>
    <col min="17" max="17" width="19.1640625" style="39" bestFit="1" customWidth="1"/>
    <col min="18" max="18" width="4.83203125" style="39" customWidth="1"/>
    <col min="19" max="19" width="17" style="39" customWidth="1"/>
    <col min="20" max="20" width="17.33203125" style="39" bestFit="1" customWidth="1"/>
    <col min="21" max="21" width="11.75" style="39" customWidth="1"/>
    <col min="22" max="23" width="17.33203125" style="39" bestFit="1" customWidth="1"/>
    <col min="24" max="24" width="19.1640625" style="39" bestFit="1" customWidth="1"/>
    <col min="25" max="25" width="5.1640625" style="39" customWidth="1"/>
    <col min="26" max="26" width="17" style="39" customWidth="1"/>
    <col min="27" max="27" width="17.33203125" style="39" bestFit="1" customWidth="1"/>
    <col min="28" max="28" width="11.75" style="39" customWidth="1"/>
    <col min="29" max="30" width="17.33203125" style="39" bestFit="1" customWidth="1"/>
    <col min="31" max="31" width="19.1640625" style="39" bestFit="1" customWidth="1"/>
    <col min="32" max="32" width="5.1640625" style="39" customWidth="1"/>
    <col min="33" max="33" width="18.1640625" style="39" customWidth="1"/>
    <col min="34" max="34" width="15.83203125" style="39" bestFit="1" customWidth="1"/>
    <col min="35" max="35" width="11.75" style="39" customWidth="1"/>
    <col min="36" max="36" width="16.1640625" style="39" customWidth="1"/>
    <col min="37" max="37" width="17.33203125" style="39" bestFit="1" customWidth="1"/>
    <col min="38" max="38" width="5.1640625" style="39" customWidth="1"/>
    <col min="39" max="39" width="18.1640625" style="39" customWidth="1"/>
    <col min="40" max="40" width="15.83203125" style="39" bestFit="1" customWidth="1"/>
    <col min="41" max="41" width="9.33203125" style="39" customWidth="1"/>
    <col min="42" max="42" width="16.1640625" style="39" customWidth="1"/>
    <col min="43" max="43" width="17.33203125" style="39" bestFit="1" customWidth="1"/>
    <col min="44" max="44" width="5.1640625" style="39" customWidth="1"/>
    <col min="45" max="45" width="17" style="39" customWidth="1"/>
    <col min="46" max="46" width="17.33203125" style="39" bestFit="1" customWidth="1"/>
    <col min="47" max="47" width="10.33203125" style="39" customWidth="1"/>
    <col min="48" max="49" width="17.33203125" style="39" bestFit="1" customWidth="1"/>
    <col min="50" max="50" width="19.1640625" style="39" bestFit="1" customWidth="1"/>
    <col min="51" max="51" width="5.1640625" style="39" customWidth="1"/>
    <col min="52" max="52" width="15.6640625" style="39" customWidth="1"/>
    <col min="53" max="53" width="15" style="39" customWidth="1"/>
    <col min="54" max="54" width="11.75" style="39" customWidth="1"/>
    <col min="55" max="55" width="11.5" style="39" customWidth="1"/>
    <col min="56" max="56" width="14.25" style="39" bestFit="1" customWidth="1"/>
    <col min="57" max="57" width="15" style="39" customWidth="1"/>
    <col min="58" max="58" width="5.1640625" style="39" customWidth="1"/>
    <col min="59" max="59" width="20.33203125" style="39" customWidth="1"/>
    <col min="60" max="60" width="17.33203125" style="39" bestFit="1" customWidth="1"/>
    <col min="61" max="61" width="9.33203125" style="39" customWidth="1"/>
    <col min="62" max="64" width="19.1640625" style="39" bestFit="1" customWidth="1"/>
    <col min="65" max="65" width="5.1640625" style="39" customWidth="1"/>
    <col min="66" max="66" width="18.83203125" style="39" customWidth="1"/>
    <col min="67" max="67" width="17.1640625" style="39" customWidth="1"/>
    <col min="68" max="68" width="10.5" style="39" customWidth="1"/>
    <col min="69" max="69" width="18.33203125" style="39" customWidth="1"/>
    <col min="70" max="70" width="17.83203125" style="39" customWidth="1"/>
    <col min="71" max="71" width="4.83203125" style="39" customWidth="1"/>
    <col min="72" max="72" width="16.33203125" style="39" customWidth="1"/>
    <col min="73" max="73" width="17.33203125" style="39" bestFit="1" customWidth="1"/>
    <col min="74" max="74" width="9.83203125" style="39" customWidth="1"/>
    <col min="75" max="75" width="17" style="39" customWidth="1"/>
    <col min="76" max="77" width="19.1640625" style="39" bestFit="1" customWidth="1"/>
    <col min="78" max="78" width="4.83203125" style="39" customWidth="1"/>
    <col min="79" max="79" width="18.1640625" style="39" customWidth="1"/>
    <col min="80" max="80" width="16.1640625" style="39" customWidth="1"/>
    <col min="81" max="81" width="10.33203125" style="39" customWidth="1"/>
    <col min="82" max="82" width="17.1640625" style="39" customWidth="1"/>
    <col min="83" max="84" width="16.1640625" style="39" customWidth="1"/>
    <col min="85" max="85" width="10.6640625" style="39" customWidth="1"/>
    <col min="86" max="86" width="18.6640625" style="39" customWidth="1"/>
    <col min="87" max="87" width="15.83203125" style="39" bestFit="1" customWidth="1"/>
    <col min="88" max="88" width="9.33203125" style="39" customWidth="1"/>
    <col min="89" max="89" width="13.83203125" style="39" customWidth="1"/>
    <col min="90" max="90" width="15.83203125" style="39" bestFit="1" customWidth="1"/>
    <col min="91" max="91" width="4.83203125" style="39" customWidth="1"/>
    <col min="92" max="92" width="19.33203125" style="39" customWidth="1"/>
    <col min="93" max="93" width="15" style="39" customWidth="1"/>
    <col min="94" max="94" width="9.33203125" style="39" customWidth="1"/>
    <col min="95" max="95" width="15" style="39" customWidth="1"/>
    <col min="96" max="96" width="16.1640625" style="39" customWidth="1"/>
    <col min="97" max="97" width="4.83203125" style="39" customWidth="1"/>
    <col min="98" max="98" width="21.1640625" style="39" customWidth="1"/>
    <col min="99" max="99" width="16.6640625" style="39" customWidth="1"/>
    <col min="100" max="100" width="9.33203125" style="39" customWidth="1"/>
    <col min="101" max="101" width="18" style="39" customWidth="1"/>
    <col min="102" max="102" width="17.1640625" style="39" customWidth="1"/>
    <col min="103" max="103" width="4.83203125" style="39" customWidth="1"/>
    <col min="104" max="104" width="20.5" style="39" customWidth="1"/>
    <col min="105" max="105" width="16.5" style="39" customWidth="1"/>
    <col min="106" max="106" width="9.33203125" style="39" customWidth="1"/>
    <col min="107" max="107" width="9" style="39" customWidth="1"/>
    <col min="108" max="108" width="18.33203125" style="39" customWidth="1"/>
    <col min="109" max="109" width="19.33203125" style="39" customWidth="1"/>
    <col min="110" max="110" width="10.6640625" style="39" customWidth="1"/>
    <col min="111" max="111" width="20" style="39" customWidth="1"/>
    <col min="112" max="112" width="17.1640625" style="39" customWidth="1"/>
    <col min="113" max="113" width="9.33203125" style="39" customWidth="1"/>
    <col min="114" max="114" width="9" style="39" customWidth="1"/>
    <col min="115" max="115" width="19" style="39" customWidth="1"/>
    <col min="116" max="116" width="17.5" style="39" customWidth="1"/>
    <col min="117" max="117" width="4.83203125" style="39" customWidth="1"/>
    <col min="118" max="118" width="18" style="39" customWidth="1"/>
    <col min="119" max="119" width="16.6640625" style="39" customWidth="1"/>
    <col min="120" max="120" width="9.33203125" style="39" customWidth="1"/>
    <col min="121" max="121" width="9" style="39" customWidth="1"/>
    <col min="122" max="122" width="17" style="39" customWidth="1"/>
    <col min="123" max="123" width="17.1640625" style="39" customWidth="1"/>
    <col min="124" max="124" width="4.83203125" style="39" customWidth="1"/>
    <col min="125" max="125" width="19.1640625" style="39" customWidth="1"/>
    <col min="126" max="126" width="16.5" style="39" customWidth="1"/>
    <col min="127" max="127" width="9.33203125" style="39" customWidth="1"/>
    <col min="128" max="128" width="13.33203125" style="39" customWidth="1"/>
    <col min="129" max="130" width="18" style="39" customWidth="1"/>
    <col min="131" max="131" width="14.1640625" style="100" bestFit="1" customWidth="1"/>
    <col min="132" max="16384" width="10.6640625" style="39"/>
  </cols>
  <sheetData>
    <row r="2" spans="1:130" x14ac:dyDescent="0.4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R2" s="64"/>
      <c r="Y2" s="64"/>
      <c r="AF2" s="64"/>
      <c r="AG2" s="64"/>
      <c r="AH2" s="64"/>
      <c r="AJ2" s="64"/>
      <c r="AK2" s="64"/>
      <c r="AL2" s="64"/>
      <c r="AM2" s="64"/>
      <c r="AN2" s="64"/>
      <c r="AO2" s="64"/>
      <c r="AP2" s="64"/>
      <c r="AQ2" s="64"/>
    </row>
    <row r="4" spans="1:130" x14ac:dyDescent="0.4">
      <c r="BS4" s="67"/>
      <c r="BZ4" s="67"/>
      <c r="CG4" s="67"/>
      <c r="CM4" s="67"/>
      <c r="CS4" s="67"/>
      <c r="CY4" s="67"/>
    </row>
    <row r="5" spans="1:130" x14ac:dyDescent="0.4">
      <c r="B5" s="70"/>
      <c r="C5" s="70"/>
      <c r="D5" s="68" t="s">
        <v>52</v>
      </c>
      <c r="E5" s="69"/>
      <c r="F5" s="69"/>
      <c r="G5" s="69"/>
      <c r="H5" s="69"/>
      <c r="I5" s="69"/>
      <c r="J5" s="69"/>
      <c r="L5" s="68" t="s">
        <v>52</v>
      </c>
      <c r="M5" s="69"/>
      <c r="N5" s="69"/>
      <c r="O5" s="69"/>
      <c r="P5" s="69"/>
      <c r="Q5" s="69"/>
      <c r="S5" s="68" t="s">
        <v>52</v>
      </c>
      <c r="T5" s="69"/>
      <c r="U5" s="69"/>
      <c r="V5" s="69"/>
      <c r="W5" s="69"/>
      <c r="X5" s="69"/>
      <c r="Z5" s="68" t="s">
        <v>52</v>
      </c>
      <c r="AA5" s="69"/>
      <c r="AB5" s="69"/>
      <c r="AC5" s="69"/>
      <c r="AD5" s="69"/>
      <c r="AE5" s="69"/>
      <c r="AG5" s="68" t="s">
        <v>52</v>
      </c>
      <c r="AH5" s="69"/>
      <c r="AI5" s="69"/>
      <c r="AJ5" s="69"/>
      <c r="AK5" s="69"/>
      <c r="AM5" s="68" t="s">
        <v>52</v>
      </c>
      <c r="AN5" s="69"/>
      <c r="AO5" s="69"/>
      <c r="AP5" s="69"/>
      <c r="AQ5" s="69"/>
      <c r="AS5" s="68" t="s">
        <v>52</v>
      </c>
      <c r="AT5" s="69"/>
      <c r="AU5" s="69"/>
      <c r="AV5" s="69"/>
      <c r="AW5" s="69"/>
      <c r="AX5" s="69"/>
      <c r="AZ5" s="68" t="s">
        <v>52</v>
      </c>
      <c r="BA5" s="69"/>
      <c r="BB5" s="69"/>
      <c r="BC5" s="69"/>
      <c r="BD5" s="69"/>
      <c r="BE5" s="69"/>
      <c r="BG5" s="68" t="s">
        <v>52</v>
      </c>
      <c r="BH5" s="69"/>
      <c r="BI5" s="69"/>
      <c r="BJ5" s="69"/>
      <c r="BK5" s="69"/>
      <c r="BL5" s="69"/>
      <c r="BN5" s="68" t="s">
        <v>52</v>
      </c>
      <c r="BO5" s="69"/>
      <c r="BP5" s="69"/>
      <c r="BQ5" s="69"/>
      <c r="BR5" s="69"/>
      <c r="BS5" s="67"/>
      <c r="BT5" s="68" t="s">
        <v>52</v>
      </c>
      <c r="BU5" s="69"/>
      <c r="BV5" s="69"/>
      <c r="BW5" s="69"/>
      <c r="BX5" s="69"/>
      <c r="BY5" s="69"/>
      <c r="BZ5" s="67"/>
      <c r="CA5" s="68" t="s">
        <v>52</v>
      </c>
      <c r="CB5" s="69"/>
      <c r="CC5" s="69"/>
      <c r="CD5" s="69"/>
      <c r="CE5" s="69"/>
      <c r="CF5" s="69"/>
      <c r="CG5" s="67"/>
      <c r="CH5" s="68" t="s">
        <v>52</v>
      </c>
      <c r="CI5" s="69"/>
      <c r="CJ5" s="69"/>
      <c r="CK5" s="69"/>
      <c r="CL5" s="69"/>
      <c r="CM5" s="67"/>
      <c r="CN5" s="68" t="s">
        <v>52</v>
      </c>
      <c r="CO5" s="69"/>
      <c r="CP5" s="69"/>
      <c r="CQ5" s="69"/>
      <c r="CR5" s="69"/>
      <c r="CS5" s="67"/>
      <c r="CT5" s="68" t="s">
        <v>52</v>
      </c>
      <c r="CU5" s="69"/>
      <c r="CV5" s="69"/>
      <c r="CW5" s="69"/>
      <c r="CX5" s="69"/>
      <c r="CY5" s="67"/>
      <c r="CZ5" s="68" t="s">
        <v>52</v>
      </c>
      <c r="DA5" s="69"/>
      <c r="DB5" s="69"/>
      <c r="DC5" s="69"/>
      <c r="DD5" s="69"/>
      <c r="DE5" s="69"/>
      <c r="DG5" s="68" t="s">
        <v>52</v>
      </c>
      <c r="DH5" s="69"/>
      <c r="DI5" s="69"/>
      <c r="DJ5" s="69"/>
      <c r="DK5" s="69"/>
      <c r="DL5" s="69"/>
      <c r="DN5" s="68" t="s">
        <v>52</v>
      </c>
      <c r="DO5" s="69"/>
      <c r="DP5" s="69"/>
      <c r="DQ5" s="69"/>
      <c r="DR5" s="69"/>
      <c r="DS5" s="69"/>
      <c r="DU5" s="68" t="s">
        <v>52</v>
      </c>
      <c r="DV5" s="69"/>
      <c r="DW5" s="69"/>
      <c r="DX5" s="69"/>
      <c r="DY5" s="69"/>
      <c r="DZ5" s="69"/>
    </row>
    <row r="6" spans="1:130" x14ac:dyDescent="0.4">
      <c r="B6" s="72"/>
      <c r="C6" s="72"/>
      <c r="D6" s="72" t="s">
        <v>83</v>
      </c>
      <c r="E6" s="72"/>
      <c r="F6" s="72"/>
      <c r="G6" s="72"/>
      <c r="H6" s="72"/>
      <c r="I6" s="72"/>
      <c r="J6" s="72"/>
      <c r="L6" s="72" t="s">
        <v>82</v>
      </c>
      <c r="M6" s="72"/>
      <c r="N6" s="72"/>
      <c r="O6" s="72"/>
      <c r="P6" s="72"/>
      <c r="Q6" s="72"/>
      <c r="S6" s="72" t="s">
        <v>82</v>
      </c>
      <c r="T6" s="72"/>
      <c r="U6" s="72"/>
      <c r="V6" s="72"/>
      <c r="W6" s="72"/>
      <c r="X6" s="72"/>
      <c r="Z6" s="72" t="s">
        <v>82</v>
      </c>
      <c r="AA6" s="72"/>
      <c r="AB6" s="72"/>
      <c r="AC6" s="72"/>
      <c r="AD6" s="72"/>
      <c r="AE6" s="72"/>
      <c r="AG6" s="72" t="s">
        <v>82</v>
      </c>
      <c r="AH6" s="72"/>
      <c r="AI6" s="72"/>
      <c r="AJ6" s="72"/>
      <c r="AK6" s="72"/>
      <c r="AM6" s="72" t="s">
        <v>82</v>
      </c>
      <c r="AN6" s="72"/>
      <c r="AO6" s="72"/>
      <c r="AP6" s="72"/>
      <c r="AQ6" s="72"/>
      <c r="AS6" s="72" t="s">
        <v>82</v>
      </c>
      <c r="AT6" s="72"/>
      <c r="AU6" s="72"/>
      <c r="AV6" s="72"/>
      <c r="AW6" s="72"/>
      <c r="AX6" s="72"/>
      <c r="AY6" s="67"/>
      <c r="AZ6" s="72" t="s">
        <v>82</v>
      </c>
      <c r="BA6" s="72"/>
      <c r="BB6" s="72"/>
      <c r="BC6" s="72"/>
      <c r="BD6" s="72"/>
      <c r="BE6" s="72"/>
      <c r="BF6" s="67"/>
      <c r="BG6" s="72" t="s">
        <v>82</v>
      </c>
      <c r="BH6" s="72"/>
      <c r="BI6" s="72"/>
      <c r="BJ6" s="72"/>
      <c r="BK6" s="72"/>
      <c r="BL6" s="72"/>
      <c r="BM6" s="67"/>
      <c r="BN6" s="72" t="s">
        <v>82</v>
      </c>
      <c r="BO6" s="72"/>
      <c r="BP6" s="72"/>
      <c r="BQ6" s="72"/>
      <c r="BR6" s="72"/>
      <c r="BS6" s="72"/>
      <c r="BT6" s="72" t="s">
        <v>82</v>
      </c>
      <c r="BU6" s="72"/>
      <c r="BV6" s="72"/>
      <c r="BW6" s="72"/>
      <c r="BX6" s="72"/>
      <c r="BY6" s="72"/>
      <c r="BZ6" s="72"/>
      <c r="CA6" s="72" t="s">
        <v>82</v>
      </c>
      <c r="CB6" s="72"/>
      <c r="CC6" s="72"/>
      <c r="CD6" s="72"/>
      <c r="CE6" s="72"/>
      <c r="CF6" s="72"/>
      <c r="CG6" s="72"/>
      <c r="CH6" s="72" t="s">
        <v>82</v>
      </c>
      <c r="CI6" s="72"/>
      <c r="CJ6" s="72"/>
      <c r="CK6" s="72"/>
      <c r="CL6" s="72"/>
      <c r="CM6" s="72"/>
      <c r="CN6" s="72" t="s">
        <v>82</v>
      </c>
      <c r="CO6" s="72"/>
      <c r="CP6" s="72"/>
      <c r="CQ6" s="72"/>
      <c r="CR6" s="72"/>
      <c r="CS6" s="72"/>
      <c r="CT6" s="72" t="s">
        <v>82</v>
      </c>
      <c r="CU6" s="72"/>
      <c r="CV6" s="72"/>
      <c r="CW6" s="72"/>
      <c r="CX6" s="72"/>
      <c r="CY6" s="72"/>
      <c r="CZ6" s="72" t="s">
        <v>82</v>
      </c>
      <c r="DA6" s="72"/>
      <c r="DB6" s="72"/>
      <c r="DC6" s="72"/>
      <c r="DD6" s="72"/>
      <c r="DE6" s="72"/>
      <c r="DF6" s="67"/>
      <c r="DG6" s="72" t="s">
        <v>82</v>
      </c>
      <c r="DH6" s="72"/>
      <c r="DI6" s="72"/>
      <c r="DJ6" s="72"/>
      <c r="DK6" s="72"/>
      <c r="DL6" s="72"/>
      <c r="DM6" s="67"/>
      <c r="DN6" s="72" t="s">
        <v>82</v>
      </c>
      <c r="DO6" s="72"/>
      <c r="DP6" s="72"/>
      <c r="DQ6" s="72"/>
      <c r="DR6" s="72"/>
      <c r="DS6" s="72"/>
      <c r="DT6" s="67"/>
      <c r="DU6" s="72" t="s">
        <v>82</v>
      </c>
      <c r="DV6" s="72"/>
      <c r="DW6" s="72"/>
      <c r="DX6" s="72"/>
      <c r="DY6" s="72"/>
      <c r="DZ6" s="72"/>
    </row>
    <row r="7" spans="1:130" x14ac:dyDescent="0.4">
      <c r="B7" s="72"/>
      <c r="C7" s="72"/>
      <c r="D7" s="72" t="s">
        <v>59</v>
      </c>
      <c r="E7" s="72"/>
      <c r="F7" s="72"/>
      <c r="G7" s="72"/>
      <c r="H7" s="72"/>
      <c r="I7" s="72"/>
      <c r="J7" s="72"/>
      <c r="L7" s="71" t="s">
        <v>62</v>
      </c>
      <c r="M7" s="72"/>
      <c r="N7" s="72"/>
      <c r="O7" s="72"/>
      <c r="P7" s="72"/>
      <c r="Q7" s="72"/>
      <c r="S7" s="71" t="s">
        <v>65</v>
      </c>
      <c r="T7" s="72"/>
      <c r="U7" s="72"/>
      <c r="V7" s="72"/>
      <c r="W7" s="72"/>
      <c r="X7" s="72"/>
      <c r="Z7" s="71" t="s">
        <v>66</v>
      </c>
      <c r="AA7" s="72"/>
      <c r="AB7" s="72"/>
      <c r="AC7" s="72"/>
      <c r="AD7" s="72"/>
      <c r="AE7" s="72"/>
      <c r="AG7" s="71" t="s">
        <v>67</v>
      </c>
      <c r="AH7" s="72"/>
      <c r="AI7" s="72"/>
      <c r="AJ7" s="72"/>
      <c r="AK7" s="72"/>
      <c r="AM7" s="71" t="s">
        <v>68</v>
      </c>
      <c r="AN7" s="72"/>
      <c r="AO7" s="72"/>
      <c r="AP7" s="72"/>
      <c r="AQ7" s="72"/>
      <c r="AS7" s="71" t="s">
        <v>69</v>
      </c>
      <c r="AT7" s="72"/>
      <c r="AU7" s="72"/>
      <c r="AV7" s="72"/>
      <c r="AW7" s="72"/>
      <c r="AX7" s="72"/>
      <c r="AY7" s="67"/>
      <c r="AZ7" s="71" t="s">
        <v>70</v>
      </c>
      <c r="BA7" s="72"/>
      <c r="BB7" s="72"/>
      <c r="BC7" s="72"/>
      <c r="BD7" s="72"/>
      <c r="BE7" s="72"/>
      <c r="BF7" s="67"/>
      <c r="BG7" s="71" t="s">
        <v>71</v>
      </c>
      <c r="BH7" s="72"/>
      <c r="BI7" s="72"/>
      <c r="BJ7" s="72"/>
      <c r="BK7" s="72"/>
      <c r="BL7" s="72"/>
      <c r="BM7" s="67"/>
      <c r="BN7" s="71" t="s">
        <v>72</v>
      </c>
      <c r="BO7" s="72"/>
      <c r="BP7" s="72"/>
      <c r="BQ7" s="72"/>
      <c r="BR7" s="72"/>
      <c r="BS7" s="67"/>
      <c r="BT7" s="71" t="s">
        <v>73</v>
      </c>
      <c r="BU7" s="73"/>
      <c r="BV7" s="73"/>
      <c r="BW7" s="73"/>
      <c r="BX7" s="73"/>
      <c r="BY7" s="73"/>
      <c r="BZ7" s="73"/>
      <c r="CA7" s="71" t="s">
        <v>74</v>
      </c>
      <c r="CB7" s="73"/>
      <c r="CC7" s="73"/>
      <c r="CD7" s="73"/>
      <c r="CE7" s="73"/>
      <c r="CF7" s="73"/>
      <c r="CG7" s="67"/>
      <c r="CH7" s="71" t="s">
        <v>75</v>
      </c>
      <c r="CI7" s="72"/>
      <c r="CJ7" s="72"/>
      <c r="CK7" s="72"/>
      <c r="CL7" s="72"/>
      <c r="CM7" s="67"/>
      <c r="CN7" s="71" t="s">
        <v>76</v>
      </c>
      <c r="CO7" s="72"/>
      <c r="CP7" s="72"/>
      <c r="CQ7" s="72"/>
      <c r="CR7" s="72"/>
      <c r="CS7" s="67"/>
      <c r="CT7" s="71" t="s">
        <v>77</v>
      </c>
      <c r="CU7" s="72"/>
      <c r="CV7" s="72"/>
      <c r="CW7" s="72"/>
      <c r="CX7" s="72"/>
      <c r="CY7" s="67"/>
      <c r="CZ7" s="71" t="s">
        <v>78</v>
      </c>
      <c r="DA7" s="72"/>
      <c r="DB7" s="72"/>
      <c r="DC7" s="72"/>
      <c r="DD7" s="72"/>
      <c r="DE7" s="72"/>
      <c r="DF7" s="67"/>
      <c r="DG7" s="71" t="s">
        <v>79</v>
      </c>
      <c r="DH7" s="72"/>
      <c r="DI7" s="72"/>
      <c r="DJ7" s="72"/>
      <c r="DK7" s="72"/>
      <c r="DL7" s="72"/>
      <c r="DM7" s="67"/>
      <c r="DN7" s="71" t="s">
        <v>80</v>
      </c>
      <c r="DO7" s="72"/>
      <c r="DP7" s="72"/>
      <c r="DQ7" s="72"/>
      <c r="DR7" s="72"/>
      <c r="DS7" s="72"/>
      <c r="DT7" s="67"/>
      <c r="DU7" s="71" t="s">
        <v>81</v>
      </c>
      <c r="DV7" s="72"/>
      <c r="DW7" s="72"/>
      <c r="DX7" s="72"/>
      <c r="DY7" s="72"/>
      <c r="DZ7" s="72"/>
    </row>
    <row r="8" spans="1:130" x14ac:dyDescent="0.4">
      <c r="B8" s="72"/>
      <c r="C8" s="72"/>
      <c r="D8" s="72"/>
      <c r="E8" s="72"/>
      <c r="F8" s="72"/>
      <c r="G8" s="72"/>
      <c r="H8" s="72"/>
      <c r="I8" s="72"/>
      <c r="J8" s="72"/>
      <c r="L8" s="74"/>
      <c r="M8" s="75"/>
      <c r="N8" s="75"/>
      <c r="O8" s="75"/>
      <c r="P8" s="75"/>
      <c r="Q8" s="75"/>
      <c r="S8" s="74"/>
      <c r="T8" s="75"/>
      <c r="U8" s="75"/>
      <c r="V8" s="75"/>
      <c r="W8" s="75"/>
      <c r="X8" s="75"/>
      <c r="Z8" s="74"/>
      <c r="AA8" s="75"/>
      <c r="AB8" s="75"/>
      <c r="AC8" s="75"/>
      <c r="AD8" s="75"/>
      <c r="AE8" s="75"/>
      <c r="AG8" s="74"/>
      <c r="AH8" s="75"/>
      <c r="AI8" s="75"/>
      <c r="AJ8" s="75"/>
      <c r="AK8" s="75"/>
      <c r="AM8" s="74"/>
      <c r="AN8" s="75"/>
      <c r="AO8" s="75"/>
      <c r="AP8" s="75"/>
      <c r="AQ8" s="75"/>
      <c r="AS8" s="74"/>
      <c r="AT8" s="75"/>
      <c r="AU8" s="75"/>
      <c r="AV8" s="75"/>
      <c r="AW8" s="75"/>
      <c r="AX8" s="75"/>
      <c r="AY8" s="67"/>
      <c r="AZ8" s="74"/>
      <c r="BA8" s="75"/>
      <c r="BB8" s="75"/>
      <c r="BC8" s="75"/>
      <c r="BD8" s="75"/>
      <c r="BE8" s="75"/>
      <c r="BF8" s="67"/>
      <c r="BG8" s="75"/>
      <c r="BH8" s="75"/>
      <c r="BI8" s="75"/>
      <c r="BJ8" s="75"/>
      <c r="BK8" s="75"/>
      <c r="BL8" s="75"/>
      <c r="BM8" s="67"/>
      <c r="BN8" s="75"/>
      <c r="BO8" s="75"/>
      <c r="BP8" s="75"/>
      <c r="BQ8" s="75"/>
      <c r="BR8" s="75"/>
      <c r="BS8" s="67"/>
      <c r="BT8" s="74"/>
      <c r="BU8" s="75"/>
      <c r="BV8" s="75"/>
      <c r="BW8" s="75"/>
      <c r="BX8" s="75"/>
      <c r="BY8" s="75"/>
      <c r="BZ8" s="75"/>
      <c r="CA8" s="74"/>
      <c r="CB8" s="75"/>
      <c r="CC8" s="75"/>
      <c r="CD8" s="75"/>
      <c r="CE8" s="75"/>
      <c r="CF8" s="75"/>
      <c r="CG8" s="67"/>
      <c r="CH8" s="74"/>
      <c r="CI8" s="75"/>
      <c r="CJ8" s="75"/>
      <c r="CK8" s="75"/>
      <c r="CL8" s="75"/>
      <c r="CM8" s="67"/>
      <c r="CN8" s="74"/>
      <c r="CO8" s="75"/>
      <c r="CP8" s="75"/>
      <c r="CQ8" s="75"/>
      <c r="CR8" s="75"/>
      <c r="CS8" s="67"/>
      <c r="CT8" s="74"/>
      <c r="CU8" s="75"/>
      <c r="CV8" s="75"/>
      <c r="CW8" s="75"/>
      <c r="CX8" s="75"/>
      <c r="CY8" s="67"/>
      <c r="CZ8" s="74"/>
      <c r="DA8" s="75"/>
      <c r="DB8" s="75"/>
      <c r="DC8" s="75"/>
      <c r="DD8" s="75"/>
      <c r="DE8" s="75"/>
      <c r="DF8" s="67"/>
      <c r="DG8" s="74"/>
      <c r="DH8" s="75"/>
      <c r="DI8" s="75"/>
      <c r="DJ8" s="75"/>
      <c r="DK8" s="75"/>
      <c r="DL8" s="75"/>
      <c r="DM8" s="67"/>
      <c r="DN8" s="74"/>
      <c r="DO8" s="75"/>
      <c r="DP8" s="75"/>
      <c r="DQ8" s="75"/>
      <c r="DR8" s="75"/>
      <c r="DS8" s="75"/>
      <c r="DT8" s="67"/>
      <c r="DU8" s="74"/>
      <c r="DV8" s="75"/>
      <c r="DW8" s="75"/>
      <c r="DX8" s="75"/>
      <c r="DY8" s="75"/>
      <c r="DZ8" s="75"/>
    </row>
    <row r="9" spans="1:130" x14ac:dyDescent="0.4">
      <c r="B9" s="72" t="s">
        <v>55</v>
      </c>
      <c r="C9" s="72"/>
      <c r="D9" s="72" t="s">
        <v>60</v>
      </c>
      <c r="E9" s="76"/>
      <c r="F9" s="76"/>
      <c r="G9" s="76" t="s">
        <v>38</v>
      </c>
      <c r="H9" s="76" t="s">
        <v>61</v>
      </c>
      <c r="I9" s="76" t="s">
        <v>56</v>
      </c>
      <c r="J9" s="76" t="s">
        <v>47</v>
      </c>
      <c r="L9" s="72" t="s">
        <v>60</v>
      </c>
      <c r="M9" s="76"/>
      <c r="N9" s="76"/>
      <c r="O9" s="76"/>
      <c r="P9" s="76" t="s">
        <v>38</v>
      </c>
      <c r="Q9" s="76" t="s">
        <v>56</v>
      </c>
      <c r="S9" s="72" t="s">
        <v>60</v>
      </c>
      <c r="T9" s="76"/>
      <c r="U9" s="76"/>
      <c r="V9" s="76"/>
      <c r="W9" s="76" t="s">
        <v>38</v>
      </c>
      <c r="X9" s="76" t="s">
        <v>56</v>
      </c>
      <c r="Z9" s="72" t="s">
        <v>60</v>
      </c>
      <c r="AA9" s="76"/>
      <c r="AB9" s="76"/>
      <c r="AC9" s="76"/>
      <c r="AD9" s="76" t="s">
        <v>38</v>
      </c>
      <c r="AE9" s="76" t="s">
        <v>56</v>
      </c>
      <c r="AG9" s="72" t="s">
        <v>60</v>
      </c>
      <c r="AH9" s="76"/>
      <c r="AI9" s="76"/>
      <c r="AJ9" s="76"/>
      <c r="AK9" s="76" t="s">
        <v>56</v>
      </c>
      <c r="AM9" s="72" t="s">
        <v>60</v>
      </c>
      <c r="AN9" s="76"/>
      <c r="AO9" s="76"/>
      <c r="AP9" s="76"/>
      <c r="AQ9" s="76" t="s">
        <v>56</v>
      </c>
      <c r="AS9" s="72" t="s">
        <v>60</v>
      </c>
      <c r="AT9" s="76"/>
      <c r="AU9" s="76"/>
      <c r="AV9" s="76"/>
      <c r="AW9" s="76" t="s">
        <v>38</v>
      </c>
      <c r="AX9" s="76" t="s">
        <v>56</v>
      </c>
      <c r="AY9" s="67"/>
      <c r="AZ9" s="72" t="s">
        <v>60</v>
      </c>
      <c r="BA9" s="76"/>
      <c r="BB9" s="76"/>
      <c r="BC9" s="76"/>
      <c r="BD9" s="76" t="s">
        <v>38</v>
      </c>
      <c r="BE9" s="76" t="s">
        <v>56</v>
      </c>
      <c r="BF9" s="67"/>
      <c r="BG9" s="72" t="s">
        <v>60</v>
      </c>
      <c r="BH9" s="76"/>
      <c r="BI9" s="76"/>
      <c r="BJ9" s="76"/>
      <c r="BK9" s="76" t="s">
        <v>38</v>
      </c>
      <c r="BL9" s="76" t="s">
        <v>56</v>
      </c>
      <c r="BM9" s="67"/>
      <c r="BN9" s="72" t="s">
        <v>60</v>
      </c>
      <c r="BO9" s="76"/>
      <c r="BP9" s="76"/>
      <c r="BQ9" s="76"/>
      <c r="BR9" s="76" t="s">
        <v>56</v>
      </c>
      <c r="BS9" s="67"/>
      <c r="BT9" s="72" t="s">
        <v>60</v>
      </c>
      <c r="BU9" s="76"/>
      <c r="BV9" s="76"/>
      <c r="BW9" s="76"/>
      <c r="BX9" s="76" t="s">
        <v>38</v>
      </c>
      <c r="BY9" s="76" t="s">
        <v>56</v>
      </c>
      <c r="BZ9" s="40"/>
      <c r="CA9" s="72" t="s">
        <v>60</v>
      </c>
      <c r="CB9" s="76"/>
      <c r="CC9" s="76"/>
      <c r="CD9" s="76"/>
      <c r="CE9" s="76" t="s">
        <v>38</v>
      </c>
      <c r="CF9" s="76" t="s">
        <v>56</v>
      </c>
      <c r="CG9" s="67"/>
      <c r="CH9" s="72" t="s">
        <v>60</v>
      </c>
      <c r="CI9" s="76"/>
      <c r="CJ9" s="76"/>
      <c r="CK9" s="76"/>
      <c r="CL9" s="76" t="s">
        <v>56</v>
      </c>
      <c r="CM9" s="67"/>
      <c r="CN9" s="72" t="s">
        <v>60</v>
      </c>
      <c r="CO9" s="76"/>
      <c r="CP9" s="76"/>
      <c r="CQ9" s="76"/>
      <c r="CR9" s="76" t="s">
        <v>56</v>
      </c>
      <c r="CS9" s="67"/>
      <c r="CT9" s="72" t="s">
        <v>60</v>
      </c>
      <c r="CU9" s="76"/>
      <c r="CV9" s="76"/>
      <c r="CW9" s="76"/>
      <c r="CX9" s="76" t="s">
        <v>56</v>
      </c>
      <c r="CY9" s="67"/>
      <c r="CZ9" s="72" t="s">
        <v>60</v>
      </c>
      <c r="DA9" s="76"/>
      <c r="DB9" s="76"/>
      <c r="DC9" s="76"/>
      <c r="DD9" s="76" t="s">
        <v>38</v>
      </c>
      <c r="DE9" s="76" t="s">
        <v>56</v>
      </c>
      <c r="DF9" s="67"/>
      <c r="DG9" s="72" t="s">
        <v>60</v>
      </c>
      <c r="DH9" s="76"/>
      <c r="DI9" s="76"/>
      <c r="DJ9" s="76"/>
      <c r="DK9" s="76" t="s">
        <v>38</v>
      </c>
      <c r="DL9" s="76" t="s">
        <v>56</v>
      </c>
      <c r="DM9" s="67"/>
      <c r="DN9" s="72" t="s">
        <v>60</v>
      </c>
      <c r="DO9" s="76"/>
      <c r="DP9" s="76"/>
      <c r="DQ9" s="76"/>
      <c r="DR9" s="76" t="s">
        <v>38</v>
      </c>
      <c r="DS9" s="76" t="s">
        <v>56</v>
      </c>
      <c r="DT9" s="67"/>
      <c r="DU9" s="72" t="s">
        <v>60</v>
      </c>
      <c r="DV9" s="76"/>
      <c r="DW9" s="76"/>
      <c r="DX9" s="76"/>
      <c r="DY9" s="76" t="s">
        <v>38</v>
      </c>
      <c r="DZ9" s="76" t="s">
        <v>56</v>
      </c>
    </row>
    <row r="10" spans="1:130" ht="13.5" thickBot="1" x14ac:dyDescent="0.45">
      <c r="B10" s="81" t="s">
        <v>57</v>
      </c>
      <c r="C10" s="81"/>
      <c r="D10" s="81" t="s">
        <v>30</v>
      </c>
      <c r="E10" s="80" t="s">
        <v>28</v>
      </c>
      <c r="F10" s="80" t="s">
        <v>39</v>
      </c>
      <c r="G10" s="80" t="s">
        <v>39</v>
      </c>
      <c r="H10" s="80" t="s">
        <v>39</v>
      </c>
      <c r="I10" s="80" t="s">
        <v>58</v>
      </c>
      <c r="J10" s="80" t="s">
        <v>41</v>
      </c>
      <c r="L10" s="81" t="s">
        <v>30</v>
      </c>
      <c r="M10" s="80" t="s">
        <v>28</v>
      </c>
      <c r="N10" s="80" t="s">
        <v>32</v>
      </c>
      <c r="O10" s="80" t="s">
        <v>39</v>
      </c>
      <c r="P10" s="80" t="s">
        <v>39</v>
      </c>
      <c r="Q10" s="80" t="s">
        <v>58</v>
      </c>
      <c r="S10" s="81" t="s">
        <v>30</v>
      </c>
      <c r="T10" s="80" t="s">
        <v>28</v>
      </c>
      <c r="U10" s="80" t="s">
        <v>32</v>
      </c>
      <c r="V10" s="80" t="s">
        <v>39</v>
      </c>
      <c r="W10" s="80" t="s">
        <v>39</v>
      </c>
      <c r="X10" s="80" t="s">
        <v>58</v>
      </c>
      <c r="Z10" s="81" t="s">
        <v>30</v>
      </c>
      <c r="AA10" s="80" t="s">
        <v>28</v>
      </c>
      <c r="AB10" s="80" t="s">
        <v>32</v>
      </c>
      <c r="AC10" s="80" t="s">
        <v>39</v>
      </c>
      <c r="AD10" s="80" t="s">
        <v>39</v>
      </c>
      <c r="AE10" s="80" t="s">
        <v>58</v>
      </c>
      <c r="AG10" s="81" t="s">
        <v>30</v>
      </c>
      <c r="AH10" s="80" t="s">
        <v>28</v>
      </c>
      <c r="AI10" s="80" t="s">
        <v>32</v>
      </c>
      <c r="AJ10" s="80" t="s">
        <v>39</v>
      </c>
      <c r="AK10" s="80" t="s">
        <v>58</v>
      </c>
      <c r="AM10" s="81" t="s">
        <v>30</v>
      </c>
      <c r="AN10" s="80" t="s">
        <v>28</v>
      </c>
      <c r="AO10" s="80" t="s">
        <v>32</v>
      </c>
      <c r="AP10" s="80" t="s">
        <v>39</v>
      </c>
      <c r="AQ10" s="80" t="s">
        <v>58</v>
      </c>
      <c r="AS10" s="81" t="s">
        <v>30</v>
      </c>
      <c r="AT10" s="80" t="s">
        <v>28</v>
      </c>
      <c r="AU10" s="80" t="s">
        <v>32</v>
      </c>
      <c r="AV10" s="80" t="s">
        <v>39</v>
      </c>
      <c r="AW10" s="80" t="s">
        <v>39</v>
      </c>
      <c r="AX10" s="80" t="s">
        <v>58</v>
      </c>
      <c r="AY10" s="67"/>
      <c r="AZ10" s="81" t="s">
        <v>30</v>
      </c>
      <c r="BA10" s="80" t="s">
        <v>28</v>
      </c>
      <c r="BB10" s="80" t="s">
        <v>32</v>
      </c>
      <c r="BC10" s="80" t="s">
        <v>39</v>
      </c>
      <c r="BD10" s="80" t="s">
        <v>39</v>
      </c>
      <c r="BE10" s="80" t="s">
        <v>58</v>
      </c>
      <c r="BF10" s="67"/>
      <c r="BG10" s="81" t="s">
        <v>30</v>
      </c>
      <c r="BH10" s="80" t="s">
        <v>28</v>
      </c>
      <c r="BI10" s="80" t="s">
        <v>32</v>
      </c>
      <c r="BJ10" s="80" t="s">
        <v>39</v>
      </c>
      <c r="BK10" s="80" t="s">
        <v>39</v>
      </c>
      <c r="BL10" s="80" t="s">
        <v>58</v>
      </c>
      <c r="BM10" s="67"/>
      <c r="BN10" s="81" t="s">
        <v>30</v>
      </c>
      <c r="BO10" s="80" t="s">
        <v>28</v>
      </c>
      <c r="BP10" s="80" t="s">
        <v>32</v>
      </c>
      <c r="BQ10" s="80" t="s">
        <v>39</v>
      </c>
      <c r="BR10" s="80" t="s">
        <v>58</v>
      </c>
      <c r="BS10" s="67"/>
      <c r="BT10" s="81" t="s">
        <v>30</v>
      </c>
      <c r="BU10" s="80" t="s">
        <v>28</v>
      </c>
      <c r="BV10" s="80" t="s">
        <v>32</v>
      </c>
      <c r="BW10" s="80" t="s">
        <v>39</v>
      </c>
      <c r="BX10" s="80" t="s">
        <v>39</v>
      </c>
      <c r="BY10" s="80" t="s">
        <v>58</v>
      </c>
      <c r="BZ10" s="78"/>
      <c r="CA10" s="81" t="s">
        <v>30</v>
      </c>
      <c r="CB10" s="80" t="s">
        <v>28</v>
      </c>
      <c r="CC10" s="80" t="s">
        <v>32</v>
      </c>
      <c r="CD10" s="80" t="s">
        <v>39</v>
      </c>
      <c r="CE10" s="80" t="s">
        <v>39</v>
      </c>
      <c r="CF10" s="80" t="s">
        <v>58</v>
      </c>
      <c r="CG10" s="67"/>
      <c r="CH10" s="81" t="s">
        <v>30</v>
      </c>
      <c r="CI10" s="80" t="s">
        <v>28</v>
      </c>
      <c r="CJ10" s="80" t="s">
        <v>32</v>
      </c>
      <c r="CK10" s="80" t="s">
        <v>39</v>
      </c>
      <c r="CL10" s="80" t="s">
        <v>58</v>
      </c>
      <c r="CM10" s="67"/>
      <c r="CN10" s="81" t="s">
        <v>30</v>
      </c>
      <c r="CO10" s="80" t="s">
        <v>28</v>
      </c>
      <c r="CP10" s="80" t="s">
        <v>32</v>
      </c>
      <c r="CQ10" s="80" t="s">
        <v>39</v>
      </c>
      <c r="CR10" s="80" t="s">
        <v>58</v>
      </c>
      <c r="CS10" s="67"/>
      <c r="CT10" s="81" t="s">
        <v>30</v>
      </c>
      <c r="CU10" s="80" t="s">
        <v>28</v>
      </c>
      <c r="CV10" s="80" t="s">
        <v>32</v>
      </c>
      <c r="CW10" s="80" t="s">
        <v>39</v>
      </c>
      <c r="CX10" s="80" t="s">
        <v>58</v>
      </c>
      <c r="CY10" s="67"/>
      <c r="CZ10" s="81" t="s">
        <v>30</v>
      </c>
      <c r="DA10" s="80" t="s">
        <v>28</v>
      </c>
      <c r="DB10" s="80" t="s">
        <v>32</v>
      </c>
      <c r="DC10" s="80" t="s">
        <v>39</v>
      </c>
      <c r="DD10" s="80" t="s">
        <v>39</v>
      </c>
      <c r="DE10" s="80" t="s">
        <v>58</v>
      </c>
      <c r="DF10" s="67"/>
      <c r="DG10" s="81" t="s">
        <v>30</v>
      </c>
      <c r="DH10" s="80" t="s">
        <v>28</v>
      </c>
      <c r="DI10" s="80" t="s">
        <v>32</v>
      </c>
      <c r="DJ10" s="80" t="s">
        <v>39</v>
      </c>
      <c r="DK10" s="80" t="s">
        <v>39</v>
      </c>
      <c r="DL10" s="80" t="s">
        <v>58</v>
      </c>
      <c r="DM10" s="67"/>
      <c r="DN10" s="81" t="s">
        <v>30</v>
      </c>
      <c r="DO10" s="80" t="s">
        <v>28</v>
      </c>
      <c r="DP10" s="80" t="s">
        <v>32</v>
      </c>
      <c r="DQ10" s="80" t="s">
        <v>39</v>
      </c>
      <c r="DR10" s="80" t="s">
        <v>39</v>
      </c>
      <c r="DS10" s="80" t="s">
        <v>58</v>
      </c>
      <c r="DT10" s="67"/>
      <c r="DU10" s="81" t="s">
        <v>30</v>
      </c>
      <c r="DV10" s="80" t="s">
        <v>28</v>
      </c>
      <c r="DW10" s="80" t="s">
        <v>32</v>
      </c>
      <c r="DX10" s="80" t="s">
        <v>39</v>
      </c>
      <c r="DY10" s="80" t="s">
        <v>39</v>
      </c>
      <c r="DZ10" s="80" t="s">
        <v>58</v>
      </c>
    </row>
    <row r="11" spans="1:130" x14ac:dyDescent="0.4">
      <c r="L11" s="71"/>
      <c r="M11" s="76"/>
      <c r="N11" s="76"/>
      <c r="O11" s="76"/>
      <c r="P11" s="76"/>
      <c r="Q11" s="76"/>
      <c r="S11" s="71"/>
      <c r="T11" s="76"/>
      <c r="U11" s="76"/>
      <c r="V11" s="76"/>
      <c r="W11" s="76"/>
      <c r="X11" s="76"/>
      <c r="Z11" s="71"/>
      <c r="AA11" s="76"/>
      <c r="AB11" s="76"/>
      <c r="AC11" s="76"/>
      <c r="AD11" s="76"/>
      <c r="AE11" s="76"/>
      <c r="AG11" s="71"/>
      <c r="AH11" s="76"/>
      <c r="AI11" s="76"/>
      <c r="AJ11" s="76"/>
      <c r="AK11" s="76"/>
      <c r="AM11" s="71"/>
      <c r="AN11" s="76"/>
      <c r="AO11" s="76"/>
      <c r="AP11" s="76"/>
      <c r="AQ11" s="76"/>
      <c r="AS11" s="71"/>
      <c r="AT11" s="76"/>
      <c r="AU11" s="76"/>
      <c r="AV11" s="76"/>
      <c r="AW11" s="76"/>
      <c r="AX11" s="76"/>
      <c r="AY11" s="67"/>
      <c r="AZ11" s="76"/>
      <c r="BA11" s="76"/>
      <c r="BB11" s="76"/>
      <c r="BC11" s="76"/>
      <c r="BD11" s="76"/>
      <c r="BE11" s="76"/>
      <c r="BF11" s="67"/>
      <c r="BG11" s="83"/>
      <c r="BH11" s="76"/>
      <c r="BI11" s="76"/>
      <c r="BJ11" s="76"/>
      <c r="BK11" s="76"/>
      <c r="BL11" s="76"/>
      <c r="BM11" s="67"/>
      <c r="BN11" s="83"/>
      <c r="BO11" s="76"/>
      <c r="BP11" s="76"/>
      <c r="BQ11" s="76"/>
      <c r="BR11" s="76"/>
      <c r="BS11" s="67"/>
      <c r="BT11" s="83"/>
      <c r="BU11" s="84"/>
      <c r="BV11" s="84"/>
      <c r="BW11" s="84"/>
      <c r="BX11" s="84"/>
      <c r="BY11" s="84"/>
      <c r="BZ11" s="84"/>
      <c r="CA11" s="83"/>
      <c r="CB11" s="84"/>
      <c r="CC11" s="84"/>
      <c r="CD11" s="84"/>
      <c r="CE11" s="84"/>
      <c r="CF11" s="84"/>
      <c r="CG11" s="67"/>
      <c r="CH11" s="83"/>
      <c r="CM11" s="67"/>
      <c r="CN11" s="83"/>
      <c r="CS11" s="67"/>
      <c r="CT11" s="83"/>
      <c r="CY11" s="67"/>
      <c r="CZ11" s="83"/>
      <c r="DF11" s="67"/>
      <c r="DG11" s="83"/>
      <c r="DM11" s="67"/>
      <c r="DN11" s="83"/>
      <c r="DT11" s="67"/>
      <c r="DU11" s="83"/>
    </row>
    <row r="12" spans="1:130" x14ac:dyDescent="0.4">
      <c r="B12" s="85">
        <v>43830</v>
      </c>
      <c r="C12" s="85"/>
      <c r="D12" s="85">
        <v>43814</v>
      </c>
      <c r="E12" s="40">
        <f t="shared" ref="E12:E72" si="0">SUM(AA12,AH12,AN12,AT12,BA12,BH12,BO12,BU12,CB12,CI12,CO12,CU12,DA12,DH12,DO12,DV12)</f>
        <v>3310432.65</v>
      </c>
      <c r="F12" s="40">
        <f t="shared" ref="F12:F72" si="1">SUM(AC12,AJ12,AP12,AV12,BD12,BJ12,BQ12,BW12,CD12,CK12,CQ12,CW12,DC12,DJ12,DQ12,DX12)</f>
        <v>1068508.75</v>
      </c>
      <c r="G12" s="40">
        <f t="shared" ref="G12:G72" si="2">SUM(AD12,AW12,BK12,BX12,CE12,DD12,DK12,DR12,DY12)</f>
        <v>10174567.35</v>
      </c>
      <c r="H12" s="39">
        <v>0</v>
      </c>
      <c r="I12" s="40">
        <f t="shared" ref="I12:I72" si="3">SUM(E12:H12)</f>
        <v>14553508.75</v>
      </c>
      <c r="J12" s="40"/>
      <c r="L12" s="85">
        <v>43814</v>
      </c>
      <c r="M12" s="40"/>
      <c r="N12" s="40"/>
      <c r="O12" s="40"/>
      <c r="P12" s="40"/>
      <c r="Q12" s="40">
        <v>0</v>
      </c>
      <c r="S12" s="85">
        <v>43814</v>
      </c>
      <c r="T12" s="40"/>
      <c r="U12" s="40"/>
      <c r="V12" s="40"/>
      <c r="W12" s="40"/>
      <c r="X12" s="40">
        <v>0</v>
      </c>
      <c r="Z12" s="85">
        <v>43814</v>
      </c>
      <c r="AA12" s="40"/>
      <c r="AB12" s="40"/>
      <c r="AC12" s="40"/>
      <c r="AD12" s="40"/>
      <c r="AE12" s="40">
        <v>0</v>
      </c>
      <c r="AG12" s="85">
        <v>43814</v>
      </c>
      <c r="AH12" s="40"/>
      <c r="AI12" s="40"/>
      <c r="AJ12" s="40"/>
      <c r="AK12" s="40">
        <v>0</v>
      </c>
      <c r="AM12" s="85">
        <v>43814</v>
      </c>
      <c r="AN12" s="40"/>
      <c r="AO12" s="87">
        <v>0</v>
      </c>
      <c r="AP12" s="40"/>
      <c r="AQ12" s="40">
        <v>0</v>
      </c>
      <c r="AS12" s="85">
        <v>43814</v>
      </c>
      <c r="AT12" s="40"/>
      <c r="AU12" s="87"/>
      <c r="AV12" s="40">
        <f t="shared" ref="AV12:AV17" si="4">AT12*AU12/2+AV13</f>
        <v>625000</v>
      </c>
      <c r="AW12" s="40"/>
      <c r="AX12" s="40">
        <f t="shared" ref="AX12:AX71" si="5">SUM(AT12,AV12,AW12)</f>
        <v>625000</v>
      </c>
      <c r="AY12" s="67"/>
      <c r="AZ12" s="85">
        <v>43814</v>
      </c>
      <c r="BB12" s="40"/>
      <c r="BC12" s="87"/>
      <c r="BE12" s="40">
        <v>0</v>
      </c>
      <c r="BF12" s="67"/>
      <c r="BG12" s="85">
        <v>43814</v>
      </c>
      <c r="BH12" s="40"/>
      <c r="BI12" s="87"/>
      <c r="BJ12" s="40"/>
      <c r="BK12" s="40"/>
      <c r="BL12" s="40">
        <v>0</v>
      </c>
      <c r="BM12" s="67"/>
      <c r="BN12" s="85">
        <v>43814</v>
      </c>
      <c r="BO12" s="40"/>
      <c r="BP12" s="87"/>
      <c r="BQ12" s="40">
        <f t="shared" ref="BQ12:BQ71" si="6">BO12*BP12/2+BQ13</f>
        <v>0</v>
      </c>
      <c r="BR12" s="40">
        <f t="shared" ref="BR12:BR72" si="7">SUM(BO12,BQ12)</f>
        <v>0</v>
      </c>
      <c r="BS12" s="67"/>
      <c r="BT12" s="85">
        <v>43814</v>
      </c>
      <c r="BU12" s="40"/>
      <c r="BV12" s="102"/>
      <c r="BW12" s="40"/>
      <c r="BX12" s="40"/>
      <c r="BY12" s="40">
        <f t="shared" ref="BY12:BY72" si="8">SUM(BW12:BX12,BU12)</f>
        <v>0</v>
      </c>
      <c r="BZ12" s="40"/>
      <c r="CA12" s="85">
        <v>43814</v>
      </c>
      <c r="CB12" s="40"/>
      <c r="CC12" s="101"/>
      <c r="CD12" s="40">
        <f>(CB12+CE12)*CC12/2+CD13</f>
        <v>443508.75</v>
      </c>
      <c r="CE12" s="40">
        <v>0</v>
      </c>
      <c r="CF12" s="40">
        <f t="shared" ref="CF12:CF71" si="9">SUM(CB12,CD12,CE12)</f>
        <v>443508.75</v>
      </c>
      <c r="CG12" s="85"/>
      <c r="CH12" s="85">
        <v>43814</v>
      </c>
      <c r="CM12" s="67"/>
      <c r="CN12" s="85">
        <v>43814</v>
      </c>
      <c r="CO12" s="40"/>
      <c r="CP12" s="40"/>
      <c r="CQ12" s="40"/>
      <c r="CR12" s="40">
        <v>0</v>
      </c>
      <c r="CS12" s="67"/>
      <c r="CT12" s="85">
        <v>43814</v>
      </c>
      <c r="CU12" s="40"/>
      <c r="CV12" s="40"/>
      <c r="CW12" s="40"/>
      <c r="CX12" s="40">
        <v>0</v>
      </c>
      <c r="CY12" s="67"/>
      <c r="CZ12" s="85">
        <v>43814</v>
      </c>
      <c r="DA12" s="40">
        <v>3310432.65</v>
      </c>
      <c r="DB12" s="87">
        <v>6.1499999999999999E-2</v>
      </c>
      <c r="DC12" s="40"/>
      <c r="DD12" s="40">
        <f>13485000-DA12</f>
        <v>10174567.35</v>
      </c>
      <c r="DE12" s="40">
        <f t="shared" ref="DE12:DE72" si="10">SUM(DA12,DC12,DD12)</f>
        <v>13485000</v>
      </c>
      <c r="DF12" s="67"/>
      <c r="DG12" s="85">
        <v>43814</v>
      </c>
      <c r="DH12" s="40"/>
      <c r="DI12" s="87"/>
      <c r="DJ12" s="40"/>
      <c r="DK12" s="40"/>
      <c r="DL12" s="40">
        <f t="shared" ref="DL12:DL72" si="11">SUM(DH12,DJ12,DK12)</f>
        <v>0</v>
      </c>
      <c r="DM12" s="67"/>
      <c r="DN12" s="85">
        <v>43814</v>
      </c>
      <c r="DO12" s="40"/>
      <c r="DP12" s="87"/>
      <c r="DQ12" s="40"/>
      <c r="DR12" s="40"/>
      <c r="DS12" s="40">
        <f t="shared" ref="DS12:DS72" si="12">SUM(DO12,DQ12,DR12)</f>
        <v>0</v>
      </c>
      <c r="DT12" s="67"/>
      <c r="DU12" s="85">
        <v>43814</v>
      </c>
      <c r="DV12" s="40"/>
      <c r="DW12" s="87"/>
      <c r="DX12" s="40"/>
      <c r="DY12" s="40"/>
      <c r="DZ12" s="40">
        <f t="shared" ref="DZ12:DZ72" si="13">SUM(DV12,DX12,DY12)</f>
        <v>0</v>
      </c>
    </row>
    <row r="13" spans="1:130" x14ac:dyDescent="0.4">
      <c r="B13" s="85">
        <v>44012</v>
      </c>
      <c r="C13" s="85"/>
      <c r="D13" s="85">
        <v>43997</v>
      </c>
      <c r="E13" s="40">
        <f t="shared" si="0"/>
        <v>3085608.3</v>
      </c>
      <c r="F13" s="40">
        <f t="shared" si="1"/>
        <v>1068508.75</v>
      </c>
      <c r="G13" s="40">
        <f t="shared" si="2"/>
        <v>2209391.7000000002</v>
      </c>
      <c r="H13" s="39">
        <v>0</v>
      </c>
      <c r="I13" s="40">
        <f t="shared" si="3"/>
        <v>6363508.75</v>
      </c>
      <c r="J13" s="40">
        <f>SUM(I12:I13)</f>
        <v>20917017.5</v>
      </c>
      <c r="L13" s="85">
        <v>43997</v>
      </c>
      <c r="M13" s="40"/>
      <c r="N13" s="40"/>
      <c r="O13" s="40"/>
      <c r="P13" s="40"/>
      <c r="Q13" s="40">
        <v>0</v>
      </c>
      <c r="S13" s="85">
        <v>43997</v>
      </c>
      <c r="T13" s="40"/>
      <c r="U13" s="40"/>
      <c r="V13" s="40"/>
      <c r="W13" s="40"/>
      <c r="X13" s="40">
        <v>0</v>
      </c>
      <c r="Z13" s="85">
        <v>43997</v>
      </c>
      <c r="AA13" s="40"/>
      <c r="AB13" s="40"/>
      <c r="AC13" s="40"/>
      <c r="AD13" s="40"/>
      <c r="AE13" s="40">
        <v>0</v>
      </c>
      <c r="AG13" s="85">
        <v>43997</v>
      </c>
      <c r="AH13" s="40"/>
      <c r="AI13" s="40"/>
      <c r="AJ13" s="40"/>
      <c r="AK13" s="40">
        <v>0</v>
      </c>
      <c r="AM13" s="85">
        <v>43997</v>
      </c>
      <c r="AN13" s="40"/>
      <c r="AO13" s="87">
        <v>0</v>
      </c>
      <c r="AP13" s="40"/>
      <c r="AQ13" s="40">
        <v>0</v>
      </c>
      <c r="AS13" s="85">
        <v>43997</v>
      </c>
      <c r="AT13" s="40"/>
      <c r="AU13" s="87"/>
      <c r="AV13" s="40">
        <f t="shared" si="4"/>
        <v>625000</v>
      </c>
      <c r="AW13" s="40"/>
      <c r="AX13" s="40">
        <f t="shared" si="5"/>
        <v>625000</v>
      </c>
      <c r="AY13" s="67"/>
      <c r="AZ13" s="85">
        <v>43997</v>
      </c>
      <c r="BB13" s="40"/>
      <c r="BC13" s="87"/>
      <c r="BE13" s="40">
        <v>0</v>
      </c>
      <c r="BF13" s="67"/>
      <c r="BG13" s="85">
        <v>43997</v>
      </c>
      <c r="BH13" s="40"/>
      <c r="BI13" s="87"/>
      <c r="BJ13" s="40"/>
      <c r="BK13" s="40"/>
      <c r="BL13" s="40">
        <v>0</v>
      </c>
      <c r="BM13" s="67"/>
      <c r="BN13" s="85">
        <v>43997</v>
      </c>
      <c r="BO13" s="40"/>
      <c r="BP13" s="87"/>
      <c r="BQ13" s="40">
        <f t="shared" si="6"/>
        <v>0</v>
      </c>
      <c r="BR13" s="40">
        <f t="shared" si="7"/>
        <v>0</v>
      </c>
      <c r="BS13" s="67"/>
      <c r="BT13" s="85">
        <v>43997</v>
      </c>
      <c r="BU13" s="40"/>
      <c r="BV13" s="102"/>
      <c r="BW13" s="40"/>
      <c r="BX13" s="40"/>
      <c r="BY13" s="40">
        <f t="shared" si="8"/>
        <v>0</v>
      </c>
      <c r="BZ13" s="40"/>
      <c r="CA13" s="85">
        <v>43997</v>
      </c>
      <c r="CB13" s="40">
        <v>3085608.3</v>
      </c>
      <c r="CC13" s="101">
        <v>5.5E-2</v>
      </c>
      <c r="CD13" s="40">
        <f>(CB13+CE13)*CC13/2+CD14</f>
        <v>443508.75</v>
      </c>
      <c r="CE13" s="40">
        <f>5295000-CB13</f>
        <v>2209391.7000000002</v>
      </c>
      <c r="CF13" s="40">
        <f t="shared" si="9"/>
        <v>5738508.75</v>
      </c>
      <c r="CG13" s="85"/>
      <c r="CH13" s="85">
        <v>43997</v>
      </c>
      <c r="CM13" s="67"/>
      <c r="CN13" s="85">
        <v>43997</v>
      </c>
      <c r="CO13" s="40"/>
      <c r="CP13" s="40"/>
      <c r="CQ13" s="40"/>
      <c r="CR13" s="40">
        <v>0</v>
      </c>
      <c r="CS13" s="67"/>
      <c r="CT13" s="85">
        <v>43997</v>
      </c>
      <c r="CU13" s="40"/>
      <c r="CV13" s="40"/>
      <c r="CW13" s="40"/>
      <c r="CX13" s="40">
        <v>0</v>
      </c>
      <c r="CY13" s="67"/>
      <c r="CZ13" s="85">
        <v>43997</v>
      </c>
      <c r="DA13" s="40"/>
      <c r="DB13" s="87"/>
      <c r="DC13" s="40"/>
      <c r="DD13" s="40"/>
      <c r="DE13" s="40">
        <f t="shared" si="10"/>
        <v>0</v>
      </c>
      <c r="DF13" s="67"/>
      <c r="DG13" s="85">
        <v>43997</v>
      </c>
      <c r="DH13" s="40"/>
      <c r="DI13" s="87"/>
      <c r="DJ13" s="40"/>
      <c r="DK13" s="40"/>
      <c r="DL13" s="40">
        <f t="shared" si="11"/>
        <v>0</v>
      </c>
      <c r="DM13" s="67"/>
      <c r="DN13" s="85">
        <v>43997</v>
      </c>
      <c r="DO13" s="40"/>
      <c r="DP13" s="87"/>
      <c r="DQ13" s="40"/>
      <c r="DR13" s="40"/>
      <c r="DS13" s="40">
        <f t="shared" si="12"/>
        <v>0</v>
      </c>
      <c r="DT13" s="67"/>
      <c r="DU13" s="85">
        <v>43997</v>
      </c>
      <c r="DV13" s="40"/>
      <c r="DW13" s="87"/>
      <c r="DX13" s="40"/>
      <c r="DY13" s="40"/>
      <c r="DZ13" s="40">
        <f t="shared" si="13"/>
        <v>0</v>
      </c>
    </row>
    <row r="14" spans="1:130" x14ac:dyDescent="0.4">
      <c r="B14" s="85">
        <v>44196</v>
      </c>
      <c r="C14" s="85"/>
      <c r="D14" s="85">
        <v>44180</v>
      </c>
      <c r="E14" s="40">
        <f t="shared" si="0"/>
        <v>0</v>
      </c>
      <c r="F14" s="40">
        <f t="shared" si="1"/>
        <v>922896.25</v>
      </c>
      <c r="G14" s="40">
        <f t="shared" si="2"/>
        <v>0</v>
      </c>
      <c r="H14" s="39">
        <v>0</v>
      </c>
      <c r="I14" s="40">
        <f t="shared" si="3"/>
        <v>922896.25</v>
      </c>
      <c r="J14" s="40"/>
      <c r="L14" s="85">
        <v>44180</v>
      </c>
      <c r="M14" s="40"/>
      <c r="N14" s="40"/>
      <c r="O14" s="40"/>
      <c r="P14" s="40"/>
      <c r="Q14" s="40">
        <v>0</v>
      </c>
      <c r="S14" s="85">
        <v>44180</v>
      </c>
      <c r="T14" s="40"/>
      <c r="U14" s="40"/>
      <c r="V14" s="40"/>
      <c r="W14" s="40"/>
      <c r="X14" s="40">
        <v>0</v>
      </c>
      <c r="Z14" s="85">
        <v>44180</v>
      </c>
      <c r="AA14" s="40"/>
      <c r="AB14" s="40"/>
      <c r="AC14" s="40"/>
      <c r="AD14" s="40"/>
      <c r="AE14" s="40">
        <v>0</v>
      </c>
      <c r="AG14" s="85">
        <v>44180</v>
      </c>
      <c r="AH14" s="40"/>
      <c r="AI14" s="40"/>
      <c r="AJ14" s="40"/>
      <c r="AK14" s="40">
        <v>0</v>
      </c>
      <c r="AM14" s="85">
        <v>44180</v>
      </c>
      <c r="AN14" s="40"/>
      <c r="AO14" s="87">
        <v>0</v>
      </c>
      <c r="AP14" s="40"/>
      <c r="AQ14" s="40">
        <v>0</v>
      </c>
      <c r="AS14" s="85">
        <v>44180</v>
      </c>
      <c r="AT14" s="40"/>
      <c r="AU14" s="87"/>
      <c r="AV14" s="40">
        <f t="shared" si="4"/>
        <v>625000</v>
      </c>
      <c r="AW14" s="40"/>
      <c r="AX14" s="40">
        <f t="shared" si="5"/>
        <v>625000</v>
      </c>
      <c r="AY14" s="67"/>
      <c r="AZ14" s="85">
        <v>44180</v>
      </c>
      <c r="BB14" s="40"/>
      <c r="BC14" s="87"/>
      <c r="BE14" s="40">
        <v>0</v>
      </c>
      <c r="BF14" s="67"/>
      <c r="BG14" s="85">
        <v>44180</v>
      </c>
      <c r="BH14" s="40"/>
      <c r="BI14" s="87"/>
      <c r="BJ14" s="40"/>
      <c r="BK14" s="40"/>
      <c r="BL14" s="40">
        <v>0</v>
      </c>
      <c r="BM14" s="67"/>
      <c r="BN14" s="85">
        <v>44180</v>
      </c>
      <c r="BO14" s="40"/>
      <c r="BP14" s="87"/>
      <c r="BQ14" s="40">
        <f t="shared" si="6"/>
        <v>0</v>
      </c>
      <c r="BR14" s="40">
        <f t="shared" si="7"/>
        <v>0</v>
      </c>
      <c r="BS14" s="67"/>
      <c r="BT14" s="85">
        <v>44180</v>
      </c>
      <c r="BU14" s="40"/>
      <c r="BV14" s="102"/>
      <c r="BW14" s="40"/>
      <c r="BX14" s="40"/>
      <c r="BY14" s="40">
        <f t="shared" si="8"/>
        <v>0</v>
      </c>
      <c r="BZ14" s="40"/>
      <c r="CA14" s="85">
        <v>44180</v>
      </c>
      <c r="CB14" s="40"/>
      <c r="CC14" s="101"/>
      <c r="CD14" s="40">
        <f>(CB14+CE14)*CC14/2+CD15</f>
        <v>297896.25</v>
      </c>
      <c r="CE14" s="40">
        <v>0</v>
      </c>
      <c r="CF14" s="40">
        <f t="shared" si="9"/>
        <v>297896.25</v>
      </c>
      <c r="CG14" s="85"/>
      <c r="CH14" s="85">
        <v>44180</v>
      </c>
      <c r="CM14" s="67"/>
      <c r="CN14" s="85">
        <v>44180</v>
      </c>
      <c r="CO14" s="40"/>
      <c r="CP14" s="40"/>
      <c r="CQ14" s="40"/>
      <c r="CR14" s="40">
        <v>0</v>
      </c>
      <c r="CS14" s="67"/>
      <c r="CT14" s="85">
        <v>44180</v>
      </c>
      <c r="CU14" s="40"/>
      <c r="CV14" s="40"/>
      <c r="CW14" s="40"/>
      <c r="CX14" s="40">
        <v>0</v>
      </c>
      <c r="CY14" s="67"/>
      <c r="CZ14" s="85">
        <v>44180</v>
      </c>
      <c r="DA14" s="40"/>
      <c r="DB14" s="87"/>
      <c r="DC14" s="40"/>
      <c r="DD14" s="40"/>
      <c r="DE14" s="40">
        <f t="shared" si="10"/>
        <v>0</v>
      </c>
      <c r="DF14" s="67"/>
      <c r="DG14" s="85">
        <v>44180</v>
      </c>
      <c r="DH14" s="40"/>
      <c r="DI14" s="87"/>
      <c r="DJ14" s="40"/>
      <c r="DK14" s="40"/>
      <c r="DL14" s="40">
        <f t="shared" si="11"/>
        <v>0</v>
      </c>
      <c r="DM14" s="67"/>
      <c r="DN14" s="85">
        <v>44180</v>
      </c>
      <c r="DO14" s="40"/>
      <c r="DP14" s="87"/>
      <c r="DQ14" s="40"/>
      <c r="DR14" s="40"/>
      <c r="DS14" s="40">
        <f t="shared" si="12"/>
        <v>0</v>
      </c>
      <c r="DT14" s="67"/>
      <c r="DU14" s="85">
        <v>44180</v>
      </c>
      <c r="DV14" s="40"/>
      <c r="DW14" s="87"/>
      <c r="DX14" s="40"/>
      <c r="DY14" s="40"/>
      <c r="DZ14" s="40">
        <f t="shared" si="13"/>
        <v>0</v>
      </c>
    </row>
    <row r="15" spans="1:130" x14ac:dyDescent="0.4">
      <c r="B15" s="85">
        <v>44377</v>
      </c>
      <c r="C15" s="85"/>
      <c r="D15" s="85">
        <v>44362</v>
      </c>
      <c r="E15" s="40">
        <f t="shared" si="0"/>
        <v>6225441.2000000002</v>
      </c>
      <c r="F15" s="40">
        <f t="shared" si="1"/>
        <v>922896.25</v>
      </c>
      <c r="G15" s="40">
        <f t="shared" si="2"/>
        <v>4509558.8</v>
      </c>
      <c r="H15" s="39">
        <v>0</v>
      </c>
      <c r="I15" s="40">
        <f t="shared" si="3"/>
        <v>11657896.25</v>
      </c>
      <c r="J15" s="40">
        <f>SUM(I14:I15)</f>
        <v>12580792.5</v>
      </c>
      <c r="L15" s="85">
        <v>44362</v>
      </c>
      <c r="M15" s="40"/>
      <c r="N15" s="40"/>
      <c r="O15" s="40"/>
      <c r="P15" s="40"/>
      <c r="Q15" s="40">
        <v>0</v>
      </c>
      <c r="S15" s="85">
        <v>44362</v>
      </c>
      <c r="T15" s="40"/>
      <c r="U15" s="40"/>
      <c r="V15" s="40"/>
      <c r="W15" s="40"/>
      <c r="X15" s="40">
        <v>0</v>
      </c>
      <c r="Z15" s="85">
        <v>44362</v>
      </c>
      <c r="AA15" s="40"/>
      <c r="AB15" s="40"/>
      <c r="AC15" s="40"/>
      <c r="AD15" s="40"/>
      <c r="AE15" s="40">
        <v>0</v>
      </c>
      <c r="AG15" s="85">
        <v>44362</v>
      </c>
      <c r="AH15" s="40"/>
      <c r="AI15" s="40"/>
      <c r="AJ15" s="40"/>
      <c r="AK15" s="40">
        <v>0</v>
      </c>
      <c r="AM15" s="85">
        <v>44362</v>
      </c>
      <c r="AN15" s="40"/>
      <c r="AO15" s="87">
        <v>0</v>
      </c>
      <c r="AP15" s="40"/>
      <c r="AQ15" s="40">
        <v>0</v>
      </c>
      <c r="AS15" s="85">
        <v>44362</v>
      </c>
      <c r="AT15" s="40"/>
      <c r="AU15" s="87"/>
      <c r="AV15" s="40">
        <f t="shared" si="4"/>
        <v>625000</v>
      </c>
      <c r="AW15" s="40"/>
      <c r="AX15" s="40">
        <f t="shared" si="5"/>
        <v>625000</v>
      </c>
      <c r="AY15" s="67"/>
      <c r="AZ15" s="85">
        <v>44362</v>
      </c>
      <c r="BB15" s="40"/>
      <c r="BC15" s="87"/>
      <c r="BE15" s="40">
        <v>0</v>
      </c>
      <c r="BF15" s="67"/>
      <c r="BG15" s="85">
        <v>44362</v>
      </c>
      <c r="BH15" s="40"/>
      <c r="BI15" s="87"/>
      <c r="BJ15" s="40"/>
      <c r="BK15" s="40"/>
      <c r="BL15" s="40">
        <v>0</v>
      </c>
      <c r="BM15" s="67"/>
      <c r="BN15" s="85">
        <v>44362</v>
      </c>
      <c r="BO15" s="40"/>
      <c r="BP15" s="87"/>
      <c r="BQ15" s="40">
        <f t="shared" si="6"/>
        <v>0</v>
      </c>
      <c r="BR15" s="40">
        <f t="shared" si="7"/>
        <v>0</v>
      </c>
      <c r="BS15" s="67"/>
      <c r="BT15" s="85">
        <v>44362</v>
      </c>
      <c r="BU15" s="40"/>
      <c r="BV15" s="102"/>
      <c r="BW15" s="40"/>
      <c r="BX15" s="40"/>
      <c r="BY15" s="40">
        <f t="shared" si="8"/>
        <v>0</v>
      </c>
      <c r="BZ15" s="40"/>
      <c r="CA15" s="85">
        <v>44362</v>
      </c>
      <c r="CB15" s="40">
        <v>6225441.2000000002</v>
      </c>
      <c r="CC15" s="101">
        <v>5.5500000000000001E-2</v>
      </c>
      <c r="CD15" s="40">
        <f>(CB15+CE15)*CC15/2+CD16</f>
        <v>297896.25</v>
      </c>
      <c r="CE15" s="40">
        <f>10735000-CB15</f>
        <v>4509558.8</v>
      </c>
      <c r="CF15" s="40">
        <f t="shared" si="9"/>
        <v>11032896.25</v>
      </c>
      <c r="CG15" s="85"/>
      <c r="CH15" s="85">
        <v>44362</v>
      </c>
      <c r="CM15" s="67"/>
      <c r="CN15" s="85">
        <v>44362</v>
      </c>
      <c r="CO15" s="40"/>
      <c r="CP15" s="40"/>
      <c r="CQ15" s="40"/>
      <c r="CR15" s="40">
        <v>0</v>
      </c>
      <c r="CS15" s="67"/>
      <c r="CT15" s="85">
        <v>44362</v>
      </c>
      <c r="CU15" s="40"/>
      <c r="CV15" s="40"/>
      <c r="CW15" s="40"/>
      <c r="CX15" s="40">
        <v>0</v>
      </c>
      <c r="CY15" s="67"/>
      <c r="CZ15" s="85">
        <v>44362</v>
      </c>
      <c r="DA15" s="40"/>
      <c r="DB15" s="87"/>
      <c r="DC15" s="40"/>
      <c r="DD15" s="40"/>
      <c r="DE15" s="40">
        <f t="shared" si="10"/>
        <v>0</v>
      </c>
      <c r="DF15" s="67"/>
      <c r="DG15" s="85">
        <v>44362</v>
      </c>
      <c r="DH15" s="40"/>
      <c r="DI15" s="87"/>
      <c r="DJ15" s="40"/>
      <c r="DK15" s="40"/>
      <c r="DL15" s="40">
        <f t="shared" si="11"/>
        <v>0</v>
      </c>
      <c r="DM15" s="67"/>
      <c r="DN15" s="85">
        <v>44362</v>
      </c>
      <c r="DO15" s="40"/>
      <c r="DP15" s="87"/>
      <c r="DQ15" s="40"/>
      <c r="DR15" s="40"/>
      <c r="DS15" s="40">
        <f t="shared" si="12"/>
        <v>0</v>
      </c>
      <c r="DT15" s="67"/>
      <c r="DU15" s="85">
        <v>44362</v>
      </c>
      <c r="DV15" s="40"/>
      <c r="DW15" s="87"/>
      <c r="DX15" s="40"/>
      <c r="DY15" s="40"/>
      <c r="DZ15" s="40">
        <f t="shared" si="13"/>
        <v>0</v>
      </c>
    </row>
    <row r="16" spans="1:130" x14ac:dyDescent="0.4">
      <c r="B16" s="85">
        <v>44561</v>
      </c>
      <c r="C16" s="85"/>
      <c r="D16" s="85">
        <v>44545</v>
      </c>
      <c r="E16" s="40">
        <f t="shared" si="0"/>
        <v>0</v>
      </c>
      <c r="F16" s="40">
        <f t="shared" si="1"/>
        <v>625000</v>
      </c>
      <c r="G16" s="40">
        <f t="shared" si="2"/>
        <v>0</v>
      </c>
      <c r="H16" s="39">
        <v>0</v>
      </c>
      <c r="I16" s="40">
        <f t="shared" si="3"/>
        <v>625000</v>
      </c>
      <c r="J16" s="40"/>
      <c r="L16" s="85">
        <v>44545</v>
      </c>
      <c r="M16" s="40"/>
      <c r="N16" s="40"/>
      <c r="O16" s="40"/>
      <c r="P16" s="40"/>
      <c r="Q16" s="40">
        <v>0</v>
      </c>
      <c r="S16" s="85">
        <v>44545</v>
      </c>
      <c r="T16" s="40"/>
      <c r="U16" s="40"/>
      <c r="V16" s="40"/>
      <c r="W16" s="40"/>
      <c r="X16" s="40">
        <v>0</v>
      </c>
      <c r="Z16" s="85">
        <v>44545</v>
      </c>
      <c r="AA16" s="40"/>
      <c r="AB16" s="40"/>
      <c r="AC16" s="40"/>
      <c r="AD16" s="40"/>
      <c r="AE16" s="40">
        <v>0</v>
      </c>
      <c r="AG16" s="85">
        <v>44545</v>
      </c>
      <c r="AH16" s="40"/>
      <c r="AI16" s="40"/>
      <c r="AJ16" s="40"/>
      <c r="AK16" s="40">
        <v>0</v>
      </c>
      <c r="AM16" s="85">
        <v>44545</v>
      </c>
      <c r="AN16" s="40"/>
      <c r="AO16" s="87">
        <v>0</v>
      </c>
      <c r="AP16" s="40"/>
      <c r="AQ16" s="40">
        <v>0</v>
      </c>
      <c r="AS16" s="85">
        <v>44545</v>
      </c>
      <c r="AT16" s="40"/>
      <c r="AU16" s="87"/>
      <c r="AV16" s="40">
        <f t="shared" si="4"/>
        <v>625000</v>
      </c>
      <c r="AW16" s="40"/>
      <c r="AX16" s="40">
        <f t="shared" si="5"/>
        <v>625000</v>
      </c>
      <c r="AY16" s="67"/>
      <c r="AZ16" s="85">
        <v>44545</v>
      </c>
      <c r="BB16" s="40"/>
      <c r="BC16" s="87"/>
      <c r="BE16" s="40">
        <v>0</v>
      </c>
      <c r="BF16" s="67"/>
      <c r="BG16" s="85">
        <v>44545</v>
      </c>
      <c r="BH16" s="40"/>
      <c r="BI16" s="87"/>
      <c r="BJ16" s="40"/>
      <c r="BK16" s="40"/>
      <c r="BL16" s="40">
        <v>0</v>
      </c>
      <c r="BM16" s="67"/>
      <c r="BN16" s="85">
        <v>44545</v>
      </c>
      <c r="BO16" s="40"/>
      <c r="BP16" s="87"/>
      <c r="BQ16" s="40">
        <f t="shared" si="6"/>
        <v>0</v>
      </c>
      <c r="BR16" s="40">
        <f t="shared" si="7"/>
        <v>0</v>
      </c>
      <c r="BS16" s="67"/>
      <c r="BT16" s="85">
        <v>44545</v>
      </c>
      <c r="BU16" s="40"/>
      <c r="BV16" s="102"/>
      <c r="BW16" s="40"/>
      <c r="BX16" s="40"/>
      <c r="BY16" s="40">
        <f t="shared" si="8"/>
        <v>0</v>
      </c>
      <c r="BZ16" s="40"/>
      <c r="CA16" s="85">
        <v>44545</v>
      </c>
      <c r="CB16" s="40"/>
      <c r="CC16" s="101"/>
      <c r="CD16" s="40"/>
      <c r="CE16" s="40"/>
      <c r="CF16" s="40">
        <f t="shared" si="9"/>
        <v>0</v>
      </c>
      <c r="CG16" s="85"/>
      <c r="CH16" s="85">
        <v>44545</v>
      </c>
      <c r="CM16" s="67"/>
      <c r="CN16" s="85">
        <v>44545</v>
      </c>
      <c r="CO16" s="40"/>
      <c r="CP16" s="40"/>
      <c r="CQ16" s="40"/>
      <c r="CR16" s="40">
        <v>0</v>
      </c>
      <c r="CS16" s="67"/>
      <c r="CT16" s="85">
        <v>44545</v>
      </c>
      <c r="CU16" s="40"/>
      <c r="CV16" s="40"/>
      <c r="CW16" s="40"/>
      <c r="CX16" s="40">
        <v>0</v>
      </c>
      <c r="CY16" s="67"/>
      <c r="CZ16" s="85">
        <v>44545</v>
      </c>
      <c r="DA16" s="40"/>
      <c r="DB16" s="87"/>
      <c r="DC16" s="40"/>
      <c r="DD16" s="40"/>
      <c r="DE16" s="40">
        <f t="shared" si="10"/>
        <v>0</v>
      </c>
      <c r="DF16" s="67"/>
      <c r="DG16" s="85">
        <v>44545</v>
      </c>
      <c r="DH16" s="40"/>
      <c r="DI16" s="87"/>
      <c r="DJ16" s="40"/>
      <c r="DK16" s="40"/>
      <c r="DL16" s="40">
        <f t="shared" si="11"/>
        <v>0</v>
      </c>
      <c r="DM16" s="67"/>
      <c r="DN16" s="85">
        <v>44545</v>
      </c>
      <c r="DO16" s="40"/>
      <c r="DP16" s="87"/>
      <c r="DQ16" s="40"/>
      <c r="DR16" s="40"/>
      <c r="DS16" s="40">
        <f t="shared" si="12"/>
        <v>0</v>
      </c>
      <c r="DT16" s="67"/>
      <c r="DU16" s="85">
        <v>44545</v>
      </c>
      <c r="DZ16" s="40">
        <f t="shared" si="13"/>
        <v>0</v>
      </c>
    </row>
    <row r="17" spans="2:130" x14ac:dyDescent="0.4">
      <c r="B17" s="85">
        <v>44742</v>
      </c>
      <c r="C17" s="85"/>
      <c r="D17" s="85">
        <v>44727</v>
      </c>
      <c r="E17" s="40">
        <f t="shared" si="0"/>
        <v>0</v>
      </c>
      <c r="F17" s="40">
        <f t="shared" si="1"/>
        <v>625000</v>
      </c>
      <c r="G17" s="40">
        <f t="shared" si="2"/>
        <v>0</v>
      </c>
      <c r="H17" s="39">
        <v>0</v>
      </c>
      <c r="I17" s="40">
        <f t="shared" si="3"/>
        <v>625000</v>
      </c>
      <c r="J17" s="40">
        <f>SUM(I16:I17)</f>
        <v>1250000</v>
      </c>
      <c r="L17" s="85">
        <v>44727</v>
      </c>
      <c r="M17" s="40"/>
      <c r="N17" s="40"/>
      <c r="O17" s="40"/>
      <c r="P17" s="40"/>
      <c r="Q17" s="40">
        <v>0</v>
      </c>
      <c r="S17" s="85">
        <v>44727</v>
      </c>
      <c r="T17" s="40"/>
      <c r="U17" s="40"/>
      <c r="V17" s="40"/>
      <c r="W17" s="40"/>
      <c r="X17" s="40">
        <v>0</v>
      </c>
      <c r="Z17" s="85">
        <v>44727</v>
      </c>
      <c r="AA17" s="40"/>
      <c r="AB17" s="40"/>
      <c r="AC17" s="40"/>
      <c r="AD17" s="40"/>
      <c r="AE17" s="40">
        <v>0</v>
      </c>
      <c r="AG17" s="85">
        <v>44727</v>
      </c>
      <c r="AH17" s="40"/>
      <c r="AI17" s="40"/>
      <c r="AJ17" s="40"/>
      <c r="AK17" s="40">
        <v>0</v>
      </c>
      <c r="AM17" s="85">
        <v>44727</v>
      </c>
      <c r="AN17" s="40"/>
      <c r="AO17" s="87">
        <v>0</v>
      </c>
      <c r="AP17" s="40"/>
      <c r="AQ17" s="40">
        <v>0</v>
      </c>
      <c r="AS17" s="85">
        <v>44727</v>
      </c>
      <c r="AT17" s="40"/>
      <c r="AU17" s="87"/>
      <c r="AV17" s="40">
        <f t="shared" si="4"/>
        <v>625000</v>
      </c>
      <c r="AW17" s="40"/>
      <c r="AX17" s="40">
        <f t="shared" si="5"/>
        <v>625000</v>
      </c>
      <c r="AY17" s="67"/>
      <c r="AZ17" s="85">
        <v>44727</v>
      </c>
      <c r="BA17" s="88"/>
      <c r="BB17" s="40"/>
      <c r="BC17" s="89"/>
      <c r="BD17" s="90"/>
      <c r="BE17" s="40">
        <v>0</v>
      </c>
      <c r="BF17" s="67"/>
      <c r="BG17" s="85">
        <v>44727</v>
      </c>
      <c r="BH17" s="40"/>
      <c r="BI17" s="87"/>
      <c r="BJ17" s="40"/>
      <c r="BK17" s="40"/>
      <c r="BL17" s="40">
        <v>0</v>
      </c>
      <c r="BM17" s="67"/>
      <c r="BN17" s="85">
        <v>44727</v>
      </c>
      <c r="BO17" s="40"/>
      <c r="BP17" s="87"/>
      <c r="BQ17" s="40">
        <f t="shared" si="6"/>
        <v>0</v>
      </c>
      <c r="BR17" s="40">
        <f t="shared" si="7"/>
        <v>0</v>
      </c>
      <c r="BS17" s="67"/>
      <c r="BT17" s="85">
        <v>44727</v>
      </c>
      <c r="BU17" s="40"/>
      <c r="BV17" s="102"/>
      <c r="BW17" s="40"/>
      <c r="BX17" s="40"/>
      <c r="BY17" s="40">
        <f t="shared" si="8"/>
        <v>0</v>
      </c>
      <c r="BZ17" s="40"/>
      <c r="CA17" s="85">
        <v>44727</v>
      </c>
      <c r="CB17" s="40"/>
      <c r="CC17" s="101"/>
      <c r="CD17" s="40"/>
      <c r="CE17" s="40"/>
      <c r="CF17" s="40">
        <f t="shared" si="9"/>
        <v>0</v>
      </c>
      <c r="CG17" s="85"/>
      <c r="CH17" s="85">
        <v>44727</v>
      </c>
      <c r="CM17" s="67"/>
      <c r="CN17" s="85">
        <v>44727</v>
      </c>
      <c r="CO17" s="40"/>
      <c r="CP17" s="40"/>
      <c r="CQ17" s="40"/>
      <c r="CR17" s="40">
        <v>0</v>
      </c>
      <c r="CS17" s="67"/>
      <c r="CT17" s="85">
        <v>44727</v>
      </c>
      <c r="CU17" s="40"/>
      <c r="CV17" s="40"/>
      <c r="CW17" s="40"/>
      <c r="CX17" s="40">
        <v>0</v>
      </c>
      <c r="CY17" s="67"/>
      <c r="CZ17" s="85">
        <v>44727</v>
      </c>
      <c r="DA17" s="40"/>
      <c r="DB17" s="87"/>
      <c r="DC17" s="40"/>
      <c r="DD17" s="40"/>
      <c r="DE17" s="40">
        <f t="shared" si="10"/>
        <v>0</v>
      </c>
      <c r="DF17" s="67"/>
      <c r="DG17" s="85">
        <v>44727</v>
      </c>
      <c r="DH17" s="40"/>
      <c r="DI17" s="87"/>
      <c r="DJ17" s="40"/>
      <c r="DK17" s="40"/>
      <c r="DL17" s="40">
        <f t="shared" si="11"/>
        <v>0</v>
      </c>
      <c r="DM17" s="67"/>
      <c r="DN17" s="85">
        <v>44727</v>
      </c>
      <c r="DO17" s="40"/>
      <c r="DP17" s="87"/>
      <c r="DQ17" s="40"/>
      <c r="DR17" s="40"/>
      <c r="DS17" s="40">
        <f t="shared" si="12"/>
        <v>0</v>
      </c>
      <c r="DT17" s="67"/>
      <c r="DU17" s="85">
        <v>44727</v>
      </c>
      <c r="DZ17" s="40">
        <f t="shared" si="13"/>
        <v>0</v>
      </c>
    </row>
    <row r="18" spans="2:130" x14ac:dyDescent="0.4">
      <c r="B18" s="85">
        <v>44926</v>
      </c>
      <c r="C18" s="85"/>
      <c r="D18" s="85">
        <v>44910</v>
      </c>
      <c r="E18" s="40">
        <f t="shared" si="0"/>
        <v>25000000</v>
      </c>
      <c r="F18" s="40">
        <f t="shared" si="1"/>
        <v>625000</v>
      </c>
      <c r="G18" s="40">
        <f t="shared" si="2"/>
        <v>0</v>
      </c>
      <c r="H18" s="39">
        <v>0</v>
      </c>
      <c r="I18" s="40">
        <f t="shared" si="3"/>
        <v>25625000</v>
      </c>
      <c r="J18" s="40"/>
      <c r="L18" s="85">
        <v>44910</v>
      </c>
      <c r="M18" s="40"/>
      <c r="N18" s="40"/>
      <c r="O18" s="40"/>
      <c r="P18" s="40"/>
      <c r="Q18" s="40">
        <v>0</v>
      </c>
      <c r="S18" s="85">
        <v>44910</v>
      </c>
      <c r="T18" s="40"/>
      <c r="U18" s="40"/>
      <c r="V18" s="40"/>
      <c r="W18" s="40"/>
      <c r="X18" s="40">
        <v>0</v>
      </c>
      <c r="Z18" s="85">
        <v>44910</v>
      </c>
      <c r="AA18" s="40"/>
      <c r="AB18" s="40"/>
      <c r="AC18" s="40"/>
      <c r="AD18" s="40"/>
      <c r="AE18" s="40">
        <v>0</v>
      </c>
      <c r="AG18" s="85">
        <v>44910</v>
      </c>
      <c r="AH18" s="40"/>
      <c r="AI18" s="40"/>
      <c r="AJ18" s="40"/>
      <c r="AK18" s="40">
        <v>0</v>
      </c>
      <c r="AM18" s="85">
        <v>44910</v>
      </c>
      <c r="AN18" s="40"/>
      <c r="AO18" s="87">
        <v>0</v>
      </c>
      <c r="AP18" s="40"/>
      <c r="AQ18" s="40">
        <v>0</v>
      </c>
      <c r="AS18" s="85">
        <v>44910</v>
      </c>
      <c r="AT18" s="40">
        <v>25000000</v>
      </c>
      <c r="AU18" s="87">
        <v>0.05</v>
      </c>
      <c r="AV18" s="40">
        <f>AT18*AU18/2+AV19</f>
        <v>625000</v>
      </c>
      <c r="AW18" s="40"/>
      <c r="AX18" s="40">
        <f t="shared" si="5"/>
        <v>25625000</v>
      </c>
      <c r="AY18" s="67"/>
      <c r="AZ18" s="85">
        <v>44910</v>
      </c>
      <c r="BA18" s="88"/>
      <c r="BB18" s="40"/>
      <c r="BC18" s="89"/>
      <c r="BD18" s="90"/>
      <c r="BE18" s="40">
        <v>0</v>
      </c>
      <c r="BF18" s="67"/>
      <c r="BG18" s="85">
        <v>44910</v>
      </c>
      <c r="BH18" s="40"/>
      <c r="BI18" s="87"/>
      <c r="BJ18" s="40"/>
      <c r="BK18" s="40"/>
      <c r="BL18" s="40">
        <v>0</v>
      </c>
      <c r="BM18" s="67"/>
      <c r="BN18" s="85">
        <v>44910</v>
      </c>
      <c r="BO18" s="40"/>
      <c r="BP18" s="87"/>
      <c r="BQ18" s="40">
        <f t="shared" si="6"/>
        <v>0</v>
      </c>
      <c r="BR18" s="40">
        <f t="shared" si="7"/>
        <v>0</v>
      </c>
      <c r="BS18" s="67"/>
      <c r="BT18" s="85">
        <v>44910</v>
      </c>
      <c r="BU18" s="40"/>
      <c r="BV18" s="102"/>
      <c r="BW18" s="40"/>
      <c r="BX18" s="40"/>
      <c r="BY18" s="40">
        <f t="shared" si="8"/>
        <v>0</v>
      </c>
      <c r="BZ18" s="40"/>
      <c r="CA18" s="85">
        <v>44910</v>
      </c>
      <c r="CB18" s="40"/>
      <c r="CC18" s="101"/>
      <c r="CD18" s="40"/>
      <c r="CE18" s="40"/>
      <c r="CF18" s="40">
        <f t="shared" si="9"/>
        <v>0</v>
      </c>
      <c r="CG18" s="85"/>
      <c r="CH18" s="85">
        <v>44910</v>
      </c>
      <c r="CM18" s="67"/>
      <c r="CN18" s="85">
        <v>44910</v>
      </c>
      <c r="CO18" s="40"/>
      <c r="CP18" s="40"/>
      <c r="CQ18" s="40"/>
      <c r="CR18" s="40">
        <v>0</v>
      </c>
      <c r="CS18" s="67"/>
      <c r="CT18" s="85">
        <v>44910</v>
      </c>
      <c r="CU18" s="40"/>
      <c r="CV18" s="40"/>
      <c r="CW18" s="40"/>
      <c r="CX18" s="40">
        <v>0</v>
      </c>
      <c r="CY18" s="67"/>
      <c r="CZ18" s="85">
        <v>44910</v>
      </c>
      <c r="DA18" s="40"/>
      <c r="DB18" s="87"/>
      <c r="DC18" s="40"/>
      <c r="DD18" s="40"/>
      <c r="DE18" s="40">
        <f t="shared" si="10"/>
        <v>0</v>
      </c>
      <c r="DF18" s="67"/>
      <c r="DG18" s="85">
        <v>44910</v>
      </c>
      <c r="DH18" s="40"/>
      <c r="DI18" s="87"/>
      <c r="DJ18" s="40"/>
      <c r="DK18" s="40"/>
      <c r="DL18" s="40">
        <f t="shared" si="11"/>
        <v>0</v>
      </c>
      <c r="DM18" s="67"/>
      <c r="DN18" s="85">
        <v>44910</v>
      </c>
      <c r="DS18" s="40">
        <f t="shared" si="12"/>
        <v>0</v>
      </c>
      <c r="DT18" s="67"/>
      <c r="DU18" s="85">
        <v>44910</v>
      </c>
      <c r="DZ18" s="40">
        <f t="shared" si="13"/>
        <v>0</v>
      </c>
    </row>
    <row r="19" spans="2:130" x14ac:dyDescent="0.4">
      <c r="B19" s="85">
        <v>45107</v>
      </c>
      <c r="C19" s="85"/>
      <c r="D19" s="85">
        <v>45092</v>
      </c>
      <c r="E19" s="40">
        <f t="shared" si="0"/>
        <v>0</v>
      </c>
      <c r="F19" s="40">
        <f t="shared" si="1"/>
        <v>0</v>
      </c>
      <c r="G19" s="40">
        <f t="shared" si="2"/>
        <v>0</v>
      </c>
      <c r="H19" s="39">
        <v>0</v>
      </c>
      <c r="I19" s="40">
        <f t="shared" si="3"/>
        <v>0</v>
      </c>
      <c r="J19" s="40">
        <f>SUM(I18:I19)</f>
        <v>25625000</v>
      </c>
      <c r="L19" s="85">
        <v>45092</v>
      </c>
      <c r="M19" s="40"/>
      <c r="N19" s="40"/>
      <c r="O19" s="40"/>
      <c r="P19" s="40"/>
      <c r="Q19" s="40">
        <v>0</v>
      </c>
      <c r="S19" s="85">
        <v>45092</v>
      </c>
      <c r="T19" s="40"/>
      <c r="U19" s="40"/>
      <c r="V19" s="40"/>
      <c r="W19" s="40"/>
      <c r="X19" s="40">
        <v>0</v>
      </c>
      <c r="Z19" s="85">
        <v>45092</v>
      </c>
      <c r="AA19" s="40"/>
      <c r="AB19" s="40"/>
      <c r="AC19" s="40"/>
      <c r="AD19" s="40"/>
      <c r="AE19" s="40">
        <v>0</v>
      </c>
      <c r="AG19" s="85">
        <v>45092</v>
      </c>
      <c r="AH19" s="40"/>
      <c r="AI19" s="40"/>
      <c r="AJ19" s="40"/>
      <c r="AK19" s="40">
        <v>0</v>
      </c>
      <c r="AM19" s="85">
        <v>45092</v>
      </c>
      <c r="AN19" s="40"/>
      <c r="AO19" s="87">
        <v>0</v>
      </c>
      <c r="AP19" s="40"/>
      <c r="AQ19" s="40">
        <v>0</v>
      </c>
      <c r="AS19" s="85">
        <v>45092</v>
      </c>
      <c r="AT19" s="40"/>
      <c r="AU19" s="87"/>
      <c r="AV19" s="40"/>
      <c r="AW19" s="40"/>
      <c r="AX19" s="40">
        <f t="shared" si="5"/>
        <v>0</v>
      </c>
      <c r="AY19" s="67"/>
      <c r="AZ19" s="85">
        <v>45092</v>
      </c>
      <c r="BA19" s="88"/>
      <c r="BB19" s="40"/>
      <c r="BC19" s="89"/>
      <c r="BD19" s="91"/>
      <c r="BE19" s="40">
        <v>0</v>
      </c>
      <c r="BF19" s="67"/>
      <c r="BG19" s="85">
        <v>45092</v>
      </c>
      <c r="BH19" s="40"/>
      <c r="BI19" s="87"/>
      <c r="BJ19" s="40"/>
      <c r="BK19" s="40"/>
      <c r="BL19" s="40">
        <v>0</v>
      </c>
      <c r="BM19" s="67"/>
      <c r="BN19" s="85">
        <v>45092</v>
      </c>
      <c r="BO19" s="40"/>
      <c r="BP19" s="87"/>
      <c r="BQ19" s="40">
        <f t="shared" si="6"/>
        <v>0</v>
      </c>
      <c r="BR19" s="40">
        <f t="shared" si="7"/>
        <v>0</v>
      </c>
      <c r="BS19" s="67"/>
      <c r="BT19" s="85">
        <v>45092</v>
      </c>
      <c r="BU19" s="40"/>
      <c r="BV19" s="102"/>
      <c r="BW19" s="40"/>
      <c r="BX19" s="40"/>
      <c r="BY19" s="40">
        <f t="shared" si="8"/>
        <v>0</v>
      </c>
      <c r="BZ19" s="40"/>
      <c r="CA19" s="85">
        <v>45092</v>
      </c>
      <c r="CB19" s="40"/>
      <c r="CC19" s="101"/>
      <c r="CD19" s="40"/>
      <c r="CE19" s="40"/>
      <c r="CF19" s="40">
        <f t="shared" si="9"/>
        <v>0</v>
      </c>
      <c r="CG19" s="85"/>
      <c r="CH19" s="85">
        <v>45092</v>
      </c>
      <c r="CM19" s="67"/>
      <c r="CN19" s="85">
        <v>45092</v>
      </c>
      <c r="CO19" s="40"/>
      <c r="CP19" s="40"/>
      <c r="CQ19" s="40"/>
      <c r="CR19" s="40">
        <v>0</v>
      </c>
      <c r="CS19" s="67"/>
      <c r="CT19" s="85">
        <v>45092</v>
      </c>
      <c r="CU19" s="40"/>
      <c r="CV19" s="40"/>
      <c r="CW19" s="40"/>
      <c r="CX19" s="40">
        <v>0</v>
      </c>
      <c r="CY19" s="67"/>
      <c r="CZ19" s="85">
        <v>45092</v>
      </c>
      <c r="DA19" s="40"/>
      <c r="DB19" s="87"/>
      <c r="DC19" s="40"/>
      <c r="DD19" s="40"/>
      <c r="DE19" s="40">
        <f t="shared" si="10"/>
        <v>0</v>
      </c>
      <c r="DF19" s="67"/>
      <c r="DG19" s="85">
        <v>45092</v>
      </c>
      <c r="DH19" s="40"/>
      <c r="DI19" s="87"/>
      <c r="DJ19" s="40"/>
      <c r="DK19" s="40"/>
      <c r="DL19" s="40">
        <f t="shared" si="11"/>
        <v>0</v>
      </c>
      <c r="DM19" s="67"/>
      <c r="DN19" s="85">
        <v>45092</v>
      </c>
      <c r="DS19" s="40">
        <f t="shared" si="12"/>
        <v>0</v>
      </c>
      <c r="DT19" s="67"/>
      <c r="DU19" s="85">
        <v>45092</v>
      </c>
      <c r="DZ19" s="40">
        <f t="shared" si="13"/>
        <v>0</v>
      </c>
    </row>
    <row r="20" spans="2:130" x14ac:dyDescent="0.4">
      <c r="B20" s="85">
        <v>45291</v>
      </c>
      <c r="C20" s="85"/>
      <c r="D20" s="85">
        <v>45275</v>
      </c>
      <c r="E20" s="40">
        <f t="shared" si="0"/>
        <v>0</v>
      </c>
      <c r="F20" s="40">
        <f t="shared" si="1"/>
        <v>0</v>
      </c>
      <c r="G20" s="40">
        <f t="shared" si="2"/>
        <v>0</v>
      </c>
      <c r="H20" s="39">
        <v>0</v>
      </c>
      <c r="I20" s="40">
        <f t="shared" si="3"/>
        <v>0</v>
      </c>
      <c r="J20" s="40"/>
      <c r="L20" s="85">
        <v>45275</v>
      </c>
      <c r="M20" s="40"/>
      <c r="N20" s="40"/>
      <c r="O20" s="40"/>
      <c r="P20" s="40"/>
      <c r="Q20" s="40">
        <v>0</v>
      </c>
      <c r="S20" s="85">
        <v>45275</v>
      </c>
      <c r="T20" s="40"/>
      <c r="U20" s="40"/>
      <c r="V20" s="40"/>
      <c r="W20" s="40"/>
      <c r="X20" s="40">
        <v>0</v>
      </c>
      <c r="Z20" s="85">
        <v>45275</v>
      </c>
      <c r="AA20" s="40"/>
      <c r="AB20" s="40"/>
      <c r="AC20" s="40"/>
      <c r="AD20" s="40"/>
      <c r="AE20" s="40">
        <v>0</v>
      </c>
      <c r="AG20" s="85">
        <v>45275</v>
      </c>
      <c r="AH20" s="40"/>
      <c r="AI20" s="40"/>
      <c r="AJ20" s="40"/>
      <c r="AK20" s="40">
        <v>0</v>
      </c>
      <c r="AM20" s="85">
        <v>45275</v>
      </c>
      <c r="AN20" s="40"/>
      <c r="AO20" s="87">
        <v>0</v>
      </c>
      <c r="AP20" s="40"/>
      <c r="AQ20" s="40">
        <v>0</v>
      </c>
      <c r="AS20" s="85">
        <v>45275</v>
      </c>
      <c r="AT20" s="40"/>
      <c r="AU20" s="87"/>
      <c r="AV20" s="40"/>
      <c r="AW20" s="40"/>
      <c r="AX20" s="40">
        <f t="shared" si="5"/>
        <v>0</v>
      </c>
      <c r="AY20" s="67"/>
      <c r="AZ20" s="85">
        <v>45275</v>
      </c>
      <c r="BA20" s="92"/>
      <c r="BB20" s="40"/>
      <c r="BC20" s="89"/>
      <c r="BD20" s="91"/>
      <c r="BE20" s="40">
        <v>0</v>
      </c>
      <c r="BF20" s="67"/>
      <c r="BG20" s="85">
        <v>45275</v>
      </c>
      <c r="BH20" s="40"/>
      <c r="BI20" s="87"/>
      <c r="BJ20" s="40"/>
      <c r="BK20" s="40"/>
      <c r="BL20" s="40">
        <v>0</v>
      </c>
      <c r="BM20" s="67"/>
      <c r="BN20" s="85">
        <v>45275</v>
      </c>
      <c r="BO20" s="40"/>
      <c r="BP20" s="87"/>
      <c r="BQ20" s="40">
        <f t="shared" si="6"/>
        <v>0</v>
      </c>
      <c r="BR20" s="40">
        <f t="shared" si="7"/>
        <v>0</v>
      </c>
      <c r="BS20" s="67"/>
      <c r="BT20" s="85">
        <v>45275</v>
      </c>
      <c r="BU20" s="40"/>
      <c r="BV20" s="102"/>
      <c r="BW20" s="40"/>
      <c r="BX20" s="40"/>
      <c r="BY20" s="40">
        <f t="shared" si="8"/>
        <v>0</v>
      </c>
      <c r="BZ20" s="40"/>
      <c r="CA20" s="85">
        <v>45275</v>
      </c>
      <c r="CB20" s="40"/>
      <c r="CC20" s="40"/>
      <c r="CD20" s="40"/>
      <c r="CE20" s="40"/>
      <c r="CF20" s="40">
        <f t="shared" si="9"/>
        <v>0</v>
      </c>
      <c r="CG20" s="85"/>
      <c r="CH20" s="85">
        <v>45275</v>
      </c>
      <c r="CM20" s="67"/>
      <c r="CN20" s="85">
        <v>45275</v>
      </c>
      <c r="CO20" s="40"/>
      <c r="CP20" s="40"/>
      <c r="CQ20" s="40"/>
      <c r="CR20" s="40">
        <v>0</v>
      </c>
      <c r="CS20" s="67"/>
      <c r="CT20" s="85">
        <v>45275</v>
      </c>
      <c r="CU20" s="40"/>
      <c r="CV20" s="40"/>
      <c r="CW20" s="40"/>
      <c r="CX20" s="40">
        <v>0</v>
      </c>
      <c r="CY20" s="67"/>
      <c r="CZ20" s="85">
        <v>45275</v>
      </c>
      <c r="DA20" s="40"/>
      <c r="DB20" s="87"/>
      <c r="DC20" s="40"/>
      <c r="DD20" s="40"/>
      <c r="DE20" s="40">
        <f t="shared" si="10"/>
        <v>0</v>
      </c>
      <c r="DF20" s="67"/>
      <c r="DG20" s="85">
        <v>45275</v>
      </c>
      <c r="DH20" s="40"/>
      <c r="DI20" s="87"/>
      <c r="DJ20" s="40"/>
      <c r="DK20" s="40"/>
      <c r="DL20" s="40">
        <f t="shared" si="11"/>
        <v>0</v>
      </c>
      <c r="DM20" s="67"/>
      <c r="DN20" s="85">
        <v>45275</v>
      </c>
      <c r="DS20" s="40">
        <f t="shared" si="12"/>
        <v>0</v>
      </c>
      <c r="DT20" s="67"/>
      <c r="DU20" s="85">
        <v>45275</v>
      </c>
      <c r="DZ20" s="40">
        <f t="shared" si="13"/>
        <v>0</v>
      </c>
    </row>
    <row r="21" spans="2:130" x14ac:dyDescent="0.4">
      <c r="B21" s="85">
        <v>45473</v>
      </c>
      <c r="C21" s="85"/>
      <c r="D21" s="85">
        <v>45458</v>
      </c>
      <c r="E21" s="40">
        <f t="shared" si="0"/>
        <v>0</v>
      </c>
      <c r="F21" s="40">
        <f t="shared" si="1"/>
        <v>0</v>
      </c>
      <c r="G21" s="40">
        <f t="shared" si="2"/>
        <v>0</v>
      </c>
      <c r="H21" s="39">
        <v>0</v>
      </c>
      <c r="I21" s="40">
        <f t="shared" si="3"/>
        <v>0</v>
      </c>
      <c r="J21" s="40">
        <f>SUM(I20:I21)</f>
        <v>0</v>
      </c>
      <c r="L21" s="85">
        <v>45458</v>
      </c>
      <c r="M21" s="40"/>
      <c r="N21" s="40"/>
      <c r="O21" s="40"/>
      <c r="P21" s="40"/>
      <c r="Q21" s="40">
        <v>0</v>
      </c>
      <c r="S21" s="85">
        <v>45458</v>
      </c>
      <c r="T21" s="40"/>
      <c r="U21" s="40"/>
      <c r="V21" s="40"/>
      <c r="W21" s="40"/>
      <c r="X21" s="40">
        <v>0</v>
      </c>
      <c r="Z21" s="85">
        <v>45458</v>
      </c>
      <c r="AA21" s="40"/>
      <c r="AB21" s="40"/>
      <c r="AC21" s="40"/>
      <c r="AD21" s="40"/>
      <c r="AE21" s="40">
        <v>0</v>
      </c>
      <c r="AG21" s="85">
        <v>45458</v>
      </c>
      <c r="AH21" s="40"/>
      <c r="AI21" s="40"/>
      <c r="AJ21" s="40"/>
      <c r="AK21" s="40">
        <v>0</v>
      </c>
      <c r="AM21" s="85">
        <v>45458</v>
      </c>
      <c r="AN21" s="40"/>
      <c r="AO21" s="87">
        <v>0</v>
      </c>
      <c r="AP21" s="40"/>
      <c r="AQ21" s="40">
        <v>0</v>
      </c>
      <c r="AS21" s="85">
        <v>45458</v>
      </c>
      <c r="AT21" s="40"/>
      <c r="AU21" s="87"/>
      <c r="AV21" s="40"/>
      <c r="AW21" s="40"/>
      <c r="AX21" s="40">
        <f t="shared" si="5"/>
        <v>0</v>
      </c>
      <c r="AY21" s="67"/>
      <c r="AZ21" s="85">
        <v>45458</v>
      </c>
      <c r="BA21" s="91"/>
      <c r="BB21" s="40"/>
      <c r="BC21" s="89"/>
      <c r="BD21" s="91"/>
      <c r="BE21" s="40">
        <v>0</v>
      </c>
      <c r="BF21" s="67"/>
      <c r="BG21" s="85">
        <v>45458</v>
      </c>
      <c r="BH21" s="40"/>
      <c r="BI21" s="87"/>
      <c r="BJ21" s="40"/>
      <c r="BK21" s="40"/>
      <c r="BL21" s="40">
        <v>0</v>
      </c>
      <c r="BM21" s="67"/>
      <c r="BN21" s="85">
        <v>45458</v>
      </c>
      <c r="BO21" s="40"/>
      <c r="BP21" s="87"/>
      <c r="BQ21" s="40">
        <f t="shared" si="6"/>
        <v>0</v>
      </c>
      <c r="BR21" s="40">
        <f t="shared" si="7"/>
        <v>0</v>
      </c>
      <c r="BS21" s="67"/>
      <c r="BT21" s="85">
        <v>45458</v>
      </c>
      <c r="BU21" s="40"/>
      <c r="BV21" s="102"/>
      <c r="BW21" s="40"/>
      <c r="BX21" s="40"/>
      <c r="BY21" s="40">
        <f t="shared" si="8"/>
        <v>0</v>
      </c>
      <c r="BZ21" s="40"/>
      <c r="CA21" s="85">
        <v>45458</v>
      </c>
      <c r="CF21" s="40">
        <f t="shared" si="9"/>
        <v>0</v>
      </c>
      <c r="CG21" s="85"/>
      <c r="CH21" s="85">
        <v>45458</v>
      </c>
      <c r="CN21" s="85">
        <v>45458</v>
      </c>
      <c r="CO21" s="40"/>
      <c r="CP21" s="40"/>
      <c r="CQ21" s="40"/>
      <c r="CR21" s="40">
        <v>0</v>
      </c>
      <c r="CT21" s="85">
        <v>45458</v>
      </c>
      <c r="CU21" s="40"/>
      <c r="CV21" s="40"/>
      <c r="CW21" s="40"/>
      <c r="CX21" s="40">
        <v>0</v>
      </c>
      <c r="CZ21" s="85">
        <v>45458</v>
      </c>
      <c r="DA21" s="40"/>
      <c r="DB21" s="87"/>
      <c r="DC21" s="40"/>
      <c r="DD21" s="40"/>
      <c r="DE21" s="40">
        <f t="shared" si="10"/>
        <v>0</v>
      </c>
      <c r="DG21" s="85">
        <v>45458</v>
      </c>
      <c r="DH21" s="40"/>
      <c r="DI21" s="87"/>
      <c r="DJ21" s="40"/>
      <c r="DK21" s="40"/>
      <c r="DL21" s="40">
        <f t="shared" si="11"/>
        <v>0</v>
      </c>
      <c r="DN21" s="85">
        <v>45458</v>
      </c>
      <c r="DS21" s="40">
        <f t="shared" si="12"/>
        <v>0</v>
      </c>
      <c r="DU21" s="85">
        <v>45458</v>
      </c>
      <c r="DZ21" s="40">
        <f t="shared" si="13"/>
        <v>0</v>
      </c>
    </row>
    <row r="22" spans="2:130" x14ac:dyDescent="0.4">
      <c r="B22" s="85">
        <v>45657</v>
      </c>
      <c r="C22" s="85"/>
      <c r="D22" s="85">
        <v>45641</v>
      </c>
      <c r="E22" s="40">
        <f t="shared" si="0"/>
        <v>0</v>
      </c>
      <c r="F22" s="40">
        <f t="shared" si="1"/>
        <v>0</v>
      </c>
      <c r="G22" s="40">
        <f t="shared" si="2"/>
        <v>0</v>
      </c>
      <c r="H22" s="39">
        <v>0</v>
      </c>
      <c r="I22" s="40">
        <f t="shared" si="3"/>
        <v>0</v>
      </c>
      <c r="J22" s="40"/>
      <c r="L22" s="85">
        <v>45641</v>
      </c>
      <c r="M22" s="40"/>
      <c r="N22" s="40"/>
      <c r="O22" s="40"/>
      <c r="P22" s="40"/>
      <c r="Q22" s="40">
        <v>0</v>
      </c>
      <c r="S22" s="85">
        <v>45641</v>
      </c>
      <c r="T22" s="40"/>
      <c r="U22" s="40"/>
      <c r="V22" s="40"/>
      <c r="W22" s="40"/>
      <c r="X22" s="40">
        <v>0</v>
      </c>
      <c r="Z22" s="85">
        <v>45641</v>
      </c>
      <c r="AA22" s="40"/>
      <c r="AB22" s="40"/>
      <c r="AC22" s="40"/>
      <c r="AD22" s="40"/>
      <c r="AE22" s="40">
        <v>0</v>
      </c>
      <c r="AG22" s="85">
        <v>45641</v>
      </c>
      <c r="AH22" s="40"/>
      <c r="AI22" s="40"/>
      <c r="AJ22" s="40"/>
      <c r="AK22" s="40">
        <v>0</v>
      </c>
      <c r="AM22" s="85">
        <v>45641</v>
      </c>
      <c r="AN22" s="40"/>
      <c r="AO22" s="87">
        <v>0</v>
      </c>
      <c r="AP22" s="40"/>
      <c r="AQ22" s="40">
        <v>0</v>
      </c>
      <c r="AS22" s="85">
        <v>45641</v>
      </c>
      <c r="AT22" s="40"/>
      <c r="AU22" s="87"/>
      <c r="AV22" s="40"/>
      <c r="AW22" s="40"/>
      <c r="AX22" s="40">
        <f t="shared" si="5"/>
        <v>0</v>
      </c>
      <c r="AY22" s="67"/>
      <c r="AZ22" s="85">
        <v>45641</v>
      </c>
      <c r="BA22" s="93"/>
      <c r="BB22" s="40"/>
      <c r="BC22" s="89"/>
      <c r="BD22" s="90"/>
      <c r="BE22" s="40">
        <v>0</v>
      </c>
      <c r="BF22" s="67"/>
      <c r="BG22" s="85">
        <v>45641</v>
      </c>
      <c r="BH22" s="40"/>
      <c r="BI22" s="87"/>
      <c r="BJ22" s="40"/>
      <c r="BK22" s="40"/>
      <c r="BL22" s="40">
        <v>0</v>
      </c>
      <c r="BM22" s="67"/>
      <c r="BN22" s="85">
        <v>45641</v>
      </c>
      <c r="BO22" s="40"/>
      <c r="BP22" s="87"/>
      <c r="BQ22" s="40">
        <f t="shared" si="6"/>
        <v>0</v>
      </c>
      <c r="BR22" s="40">
        <f t="shared" si="7"/>
        <v>0</v>
      </c>
      <c r="BS22" s="67"/>
      <c r="BT22" s="85">
        <v>45641</v>
      </c>
      <c r="BU22" s="40"/>
      <c r="BV22" s="102"/>
      <c r="BW22" s="40"/>
      <c r="BX22" s="40"/>
      <c r="BY22" s="40">
        <f t="shared" si="8"/>
        <v>0</v>
      </c>
      <c r="BZ22" s="40"/>
      <c r="CA22" s="85">
        <v>45641</v>
      </c>
      <c r="CF22" s="40">
        <f t="shared" si="9"/>
        <v>0</v>
      </c>
      <c r="CG22" s="85"/>
      <c r="CH22" s="85">
        <v>45641</v>
      </c>
      <c r="CN22" s="85">
        <v>45641</v>
      </c>
      <c r="CO22" s="40"/>
      <c r="CP22" s="40"/>
      <c r="CQ22" s="40"/>
      <c r="CR22" s="40">
        <v>0</v>
      </c>
      <c r="CT22" s="85">
        <v>45641</v>
      </c>
      <c r="CX22" s="40">
        <v>0</v>
      </c>
      <c r="CZ22" s="85">
        <v>45641</v>
      </c>
      <c r="DA22" s="40"/>
      <c r="DB22" s="87"/>
      <c r="DC22" s="40"/>
      <c r="DD22" s="40"/>
      <c r="DE22" s="40">
        <f t="shared" si="10"/>
        <v>0</v>
      </c>
      <c r="DG22" s="85">
        <v>45641</v>
      </c>
      <c r="DH22" s="40"/>
      <c r="DI22" s="87"/>
      <c r="DJ22" s="40"/>
      <c r="DK22" s="40"/>
      <c r="DL22" s="40">
        <f t="shared" si="11"/>
        <v>0</v>
      </c>
      <c r="DN22" s="85">
        <v>45641</v>
      </c>
      <c r="DS22" s="40">
        <f t="shared" si="12"/>
        <v>0</v>
      </c>
      <c r="DU22" s="85">
        <v>45641</v>
      </c>
      <c r="DZ22" s="40">
        <f t="shared" si="13"/>
        <v>0</v>
      </c>
    </row>
    <row r="23" spans="2:130" x14ac:dyDescent="0.4">
      <c r="B23" s="85">
        <v>45838</v>
      </c>
      <c r="C23" s="85"/>
      <c r="D23" s="85">
        <v>45823</v>
      </c>
      <c r="E23" s="40">
        <f t="shared" si="0"/>
        <v>0</v>
      </c>
      <c r="F23" s="40">
        <f t="shared" si="1"/>
        <v>0</v>
      </c>
      <c r="G23" s="40">
        <f t="shared" si="2"/>
        <v>0</v>
      </c>
      <c r="H23" s="39">
        <v>0</v>
      </c>
      <c r="I23" s="40">
        <f t="shared" si="3"/>
        <v>0</v>
      </c>
      <c r="J23" s="40">
        <f>SUM(I22:I23)</f>
        <v>0</v>
      </c>
      <c r="L23" s="85">
        <v>45823</v>
      </c>
      <c r="M23" s="40"/>
      <c r="N23" s="40"/>
      <c r="O23" s="40"/>
      <c r="P23" s="40"/>
      <c r="Q23" s="40">
        <v>0</v>
      </c>
      <c r="S23" s="85">
        <v>45823</v>
      </c>
      <c r="T23" s="40"/>
      <c r="U23" s="40"/>
      <c r="V23" s="40"/>
      <c r="W23" s="40"/>
      <c r="X23" s="40">
        <v>0</v>
      </c>
      <c r="Z23" s="85">
        <v>45823</v>
      </c>
      <c r="AA23" s="40"/>
      <c r="AB23" s="40"/>
      <c r="AC23" s="40"/>
      <c r="AD23" s="40"/>
      <c r="AE23" s="40">
        <v>0</v>
      </c>
      <c r="AG23" s="85">
        <v>45823</v>
      </c>
      <c r="AH23" s="40"/>
      <c r="AI23" s="40"/>
      <c r="AJ23" s="40"/>
      <c r="AK23" s="40">
        <v>0</v>
      </c>
      <c r="AM23" s="85">
        <v>45823</v>
      </c>
      <c r="AN23" s="40"/>
      <c r="AO23" s="87">
        <v>0</v>
      </c>
      <c r="AP23" s="40"/>
      <c r="AQ23" s="40">
        <v>0</v>
      </c>
      <c r="AS23" s="85">
        <v>45823</v>
      </c>
      <c r="AT23" s="40"/>
      <c r="AU23" s="87"/>
      <c r="AV23" s="40"/>
      <c r="AW23" s="40"/>
      <c r="AX23" s="40">
        <f t="shared" si="5"/>
        <v>0</v>
      </c>
      <c r="AY23" s="67"/>
      <c r="AZ23" s="85">
        <v>45823</v>
      </c>
      <c r="BA23" s="93"/>
      <c r="BB23" s="40"/>
      <c r="BC23" s="89"/>
      <c r="BD23" s="90"/>
      <c r="BE23" s="40">
        <v>0</v>
      </c>
      <c r="BF23" s="67"/>
      <c r="BG23" s="85">
        <v>45823</v>
      </c>
      <c r="BH23" s="40"/>
      <c r="BI23" s="87"/>
      <c r="BJ23" s="40"/>
      <c r="BK23" s="40"/>
      <c r="BL23" s="40">
        <v>0</v>
      </c>
      <c r="BM23" s="67"/>
      <c r="BN23" s="85">
        <v>45823</v>
      </c>
      <c r="BO23" s="40"/>
      <c r="BP23" s="87"/>
      <c r="BQ23" s="40">
        <f t="shared" si="6"/>
        <v>0</v>
      </c>
      <c r="BR23" s="40">
        <f t="shared" si="7"/>
        <v>0</v>
      </c>
      <c r="BS23" s="67"/>
      <c r="BT23" s="85">
        <v>45823</v>
      </c>
      <c r="BU23" s="40"/>
      <c r="BV23" s="102"/>
      <c r="BW23" s="40"/>
      <c r="BX23" s="40"/>
      <c r="BY23" s="40">
        <f t="shared" si="8"/>
        <v>0</v>
      </c>
      <c r="BZ23" s="40"/>
      <c r="CA23" s="85">
        <v>45823</v>
      </c>
      <c r="CF23" s="40">
        <f t="shared" si="9"/>
        <v>0</v>
      </c>
      <c r="CG23" s="85"/>
      <c r="CH23" s="85">
        <v>45823</v>
      </c>
      <c r="CN23" s="85">
        <v>45823</v>
      </c>
      <c r="CO23" s="40"/>
      <c r="CP23" s="40"/>
      <c r="CQ23" s="40"/>
      <c r="CR23" s="40">
        <v>0</v>
      </c>
      <c r="CT23" s="85">
        <v>45823</v>
      </c>
      <c r="CX23" s="40">
        <v>0</v>
      </c>
      <c r="CZ23" s="85">
        <v>45823</v>
      </c>
      <c r="DA23" s="40"/>
      <c r="DB23" s="87"/>
      <c r="DC23" s="40"/>
      <c r="DD23" s="40"/>
      <c r="DE23" s="40">
        <f t="shared" si="10"/>
        <v>0</v>
      </c>
      <c r="DG23" s="85">
        <v>45823</v>
      </c>
      <c r="DH23" s="40"/>
      <c r="DI23" s="87"/>
      <c r="DJ23" s="40"/>
      <c r="DK23" s="40"/>
      <c r="DL23" s="40">
        <f t="shared" si="11"/>
        <v>0</v>
      </c>
      <c r="DN23" s="85">
        <v>45823</v>
      </c>
      <c r="DS23" s="40">
        <f t="shared" si="12"/>
        <v>0</v>
      </c>
      <c r="DU23" s="85">
        <v>45823</v>
      </c>
      <c r="DZ23" s="40">
        <f t="shared" si="13"/>
        <v>0</v>
      </c>
    </row>
    <row r="24" spans="2:130" x14ac:dyDescent="0.4">
      <c r="B24" s="85">
        <v>46022</v>
      </c>
      <c r="C24" s="85"/>
      <c r="D24" s="85">
        <v>46006</v>
      </c>
      <c r="E24" s="40">
        <f t="shared" si="0"/>
        <v>0</v>
      </c>
      <c r="F24" s="40">
        <f t="shared" si="1"/>
        <v>0</v>
      </c>
      <c r="G24" s="40">
        <f t="shared" si="2"/>
        <v>0</v>
      </c>
      <c r="H24" s="39">
        <v>0</v>
      </c>
      <c r="I24" s="40">
        <f t="shared" si="3"/>
        <v>0</v>
      </c>
      <c r="J24" s="40"/>
      <c r="L24" s="85">
        <v>46006</v>
      </c>
      <c r="M24" s="40"/>
      <c r="N24" s="40"/>
      <c r="O24" s="40"/>
      <c r="P24" s="40"/>
      <c r="Q24" s="40">
        <v>0</v>
      </c>
      <c r="S24" s="85">
        <v>46006</v>
      </c>
      <c r="T24" s="40"/>
      <c r="U24" s="40"/>
      <c r="V24" s="40"/>
      <c r="W24" s="40"/>
      <c r="X24" s="40">
        <v>0</v>
      </c>
      <c r="Z24" s="85">
        <v>46006</v>
      </c>
      <c r="AA24" s="40"/>
      <c r="AB24" s="40"/>
      <c r="AC24" s="40"/>
      <c r="AD24" s="40"/>
      <c r="AE24" s="40">
        <v>0</v>
      </c>
      <c r="AG24" s="85">
        <v>46006</v>
      </c>
      <c r="AH24" s="40"/>
      <c r="AI24" s="40"/>
      <c r="AJ24" s="40"/>
      <c r="AK24" s="40">
        <v>0</v>
      </c>
      <c r="AM24" s="85">
        <v>46006</v>
      </c>
      <c r="AN24" s="40"/>
      <c r="AO24" s="87">
        <v>0</v>
      </c>
      <c r="AP24" s="40"/>
      <c r="AQ24" s="40">
        <v>0</v>
      </c>
      <c r="AS24" s="85">
        <v>46006</v>
      </c>
      <c r="AT24" s="40"/>
      <c r="AU24" s="87"/>
      <c r="AV24" s="40"/>
      <c r="AW24" s="40"/>
      <c r="AX24" s="40">
        <f t="shared" si="5"/>
        <v>0</v>
      </c>
      <c r="AY24" s="67"/>
      <c r="AZ24" s="85">
        <v>46006</v>
      </c>
      <c r="BB24" s="40"/>
      <c r="BC24" s="87"/>
      <c r="BE24" s="40">
        <v>0</v>
      </c>
      <c r="BF24" s="67"/>
      <c r="BG24" s="85">
        <v>46006</v>
      </c>
      <c r="BH24" s="40"/>
      <c r="BI24" s="87"/>
      <c r="BJ24" s="40"/>
      <c r="BK24" s="40"/>
      <c r="BL24" s="40">
        <v>0</v>
      </c>
      <c r="BM24" s="67"/>
      <c r="BN24" s="85">
        <v>46006</v>
      </c>
      <c r="BO24" s="40"/>
      <c r="BP24" s="87"/>
      <c r="BQ24" s="40">
        <f t="shared" si="6"/>
        <v>0</v>
      </c>
      <c r="BR24" s="40">
        <f t="shared" si="7"/>
        <v>0</v>
      </c>
      <c r="BS24" s="67"/>
      <c r="BT24" s="85">
        <v>46006</v>
      </c>
      <c r="BU24" s="40"/>
      <c r="BV24" s="102"/>
      <c r="BW24" s="40"/>
      <c r="BX24" s="40"/>
      <c r="BY24" s="40">
        <f t="shared" si="8"/>
        <v>0</v>
      </c>
      <c r="BZ24" s="40"/>
      <c r="CA24" s="85">
        <v>46006</v>
      </c>
      <c r="CF24" s="40">
        <f t="shared" si="9"/>
        <v>0</v>
      </c>
      <c r="CG24" s="85"/>
      <c r="CH24" s="85">
        <v>46006</v>
      </c>
      <c r="CN24" s="85">
        <v>46006</v>
      </c>
      <c r="CO24" s="40"/>
      <c r="CP24" s="40"/>
      <c r="CQ24" s="40"/>
      <c r="CR24" s="40">
        <v>0</v>
      </c>
      <c r="CT24" s="85">
        <v>46006</v>
      </c>
      <c r="CX24" s="40">
        <v>0</v>
      </c>
      <c r="CZ24" s="85">
        <v>46006</v>
      </c>
      <c r="DE24" s="40">
        <f t="shared" si="10"/>
        <v>0</v>
      </c>
      <c r="DG24" s="85">
        <v>46006</v>
      </c>
      <c r="DH24" s="40"/>
      <c r="DI24" s="87"/>
      <c r="DJ24" s="40"/>
      <c r="DK24" s="40"/>
      <c r="DL24" s="40">
        <f t="shared" si="11"/>
        <v>0</v>
      </c>
      <c r="DN24" s="85">
        <v>46006</v>
      </c>
      <c r="DS24" s="40">
        <f t="shared" si="12"/>
        <v>0</v>
      </c>
      <c r="DU24" s="85">
        <v>46006</v>
      </c>
      <c r="DZ24" s="40">
        <f t="shared" si="13"/>
        <v>0</v>
      </c>
    </row>
    <row r="25" spans="2:130" x14ac:dyDescent="0.4">
      <c r="B25" s="85">
        <v>46203</v>
      </c>
      <c r="C25" s="85"/>
      <c r="D25" s="85">
        <v>46188</v>
      </c>
      <c r="E25" s="40">
        <f t="shared" si="0"/>
        <v>0</v>
      </c>
      <c r="F25" s="40">
        <f t="shared" si="1"/>
        <v>0</v>
      </c>
      <c r="G25" s="40">
        <f t="shared" si="2"/>
        <v>0</v>
      </c>
      <c r="H25" s="39">
        <v>0</v>
      </c>
      <c r="I25" s="40">
        <f t="shared" si="3"/>
        <v>0</v>
      </c>
      <c r="J25" s="40">
        <f>SUM(I24:I25)</f>
        <v>0</v>
      </c>
      <c r="L25" s="85">
        <v>46188</v>
      </c>
      <c r="M25" s="40"/>
      <c r="N25" s="40"/>
      <c r="O25" s="40"/>
      <c r="P25" s="40"/>
      <c r="Q25" s="40">
        <v>0</v>
      </c>
      <c r="S25" s="85">
        <v>46188</v>
      </c>
      <c r="T25" s="40"/>
      <c r="U25" s="40"/>
      <c r="V25" s="40"/>
      <c r="W25" s="40"/>
      <c r="X25" s="40">
        <v>0</v>
      </c>
      <c r="Z25" s="85">
        <v>46188</v>
      </c>
      <c r="AA25" s="40"/>
      <c r="AB25" s="40"/>
      <c r="AC25" s="40"/>
      <c r="AD25" s="40"/>
      <c r="AE25" s="40">
        <v>0</v>
      </c>
      <c r="AG25" s="85">
        <v>46188</v>
      </c>
      <c r="AH25" s="40"/>
      <c r="AI25" s="40"/>
      <c r="AJ25" s="40"/>
      <c r="AK25" s="40">
        <v>0</v>
      </c>
      <c r="AM25" s="85">
        <v>46188</v>
      </c>
      <c r="AN25" s="40"/>
      <c r="AO25" s="87">
        <v>0</v>
      </c>
      <c r="AP25" s="40"/>
      <c r="AQ25" s="40">
        <v>0</v>
      </c>
      <c r="AS25" s="85">
        <v>46188</v>
      </c>
      <c r="AT25" s="40"/>
      <c r="AU25" s="87"/>
      <c r="AV25" s="40"/>
      <c r="AW25" s="40"/>
      <c r="AX25" s="40">
        <f t="shared" si="5"/>
        <v>0</v>
      </c>
      <c r="AY25" s="67"/>
      <c r="AZ25" s="85">
        <v>46188</v>
      </c>
      <c r="BB25" s="40"/>
      <c r="BC25" s="87"/>
      <c r="BE25" s="40">
        <v>0</v>
      </c>
      <c r="BF25" s="67"/>
      <c r="BG25" s="85">
        <v>46188</v>
      </c>
      <c r="BH25" s="40"/>
      <c r="BI25" s="87"/>
      <c r="BJ25" s="40"/>
      <c r="BK25" s="40"/>
      <c r="BL25" s="40">
        <v>0</v>
      </c>
      <c r="BM25" s="67"/>
      <c r="BN25" s="85">
        <v>46188</v>
      </c>
      <c r="BO25" s="40"/>
      <c r="BP25" s="87"/>
      <c r="BQ25" s="40">
        <f t="shared" si="6"/>
        <v>0</v>
      </c>
      <c r="BR25" s="40">
        <f t="shared" si="7"/>
        <v>0</v>
      </c>
      <c r="BS25" s="67"/>
      <c r="BT25" s="85">
        <v>46188</v>
      </c>
      <c r="BU25" s="40"/>
      <c r="BV25" s="102"/>
      <c r="BW25" s="40"/>
      <c r="BX25" s="40"/>
      <c r="BY25" s="40">
        <f t="shared" si="8"/>
        <v>0</v>
      </c>
      <c r="BZ25" s="40"/>
      <c r="CA25" s="85">
        <v>46188</v>
      </c>
      <c r="CF25" s="40">
        <f t="shared" si="9"/>
        <v>0</v>
      </c>
      <c r="CG25" s="85"/>
      <c r="CH25" s="85">
        <v>46188</v>
      </c>
      <c r="CN25" s="85">
        <v>46188</v>
      </c>
      <c r="CO25" s="40"/>
      <c r="CP25" s="40"/>
      <c r="CQ25" s="40"/>
      <c r="CR25" s="40">
        <v>0</v>
      </c>
      <c r="CT25" s="85">
        <v>46188</v>
      </c>
      <c r="CX25" s="40">
        <v>0</v>
      </c>
      <c r="CZ25" s="85">
        <v>46188</v>
      </c>
      <c r="DE25" s="40">
        <f t="shared" si="10"/>
        <v>0</v>
      </c>
      <c r="DG25" s="85">
        <v>46188</v>
      </c>
      <c r="DH25" s="40"/>
      <c r="DI25" s="87"/>
      <c r="DJ25" s="40"/>
      <c r="DK25" s="40"/>
      <c r="DL25" s="40">
        <f t="shared" si="11"/>
        <v>0</v>
      </c>
      <c r="DN25" s="85">
        <v>46188</v>
      </c>
      <c r="DS25" s="40">
        <f t="shared" si="12"/>
        <v>0</v>
      </c>
      <c r="DU25" s="85">
        <v>46188</v>
      </c>
      <c r="DZ25" s="40">
        <f t="shared" si="13"/>
        <v>0</v>
      </c>
    </row>
    <row r="26" spans="2:130" x14ac:dyDescent="0.4">
      <c r="B26" s="85">
        <v>46387</v>
      </c>
      <c r="C26" s="85"/>
      <c r="D26" s="85">
        <v>46371</v>
      </c>
      <c r="E26" s="40">
        <f t="shared" si="0"/>
        <v>0</v>
      </c>
      <c r="F26" s="40">
        <f t="shared" si="1"/>
        <v>0</v>
      </c>
      <c r="G26" s="40">
        <f t="shared" si="2"/>
        <v>0</v>
      </c>
      <c r="H26" s="39">
        <v>0</v>
      </c>
      <c r="I26" s="40">
        <f t="shared" si="3"/>
        <v>0</v>
      </c>
      <c r="J26" s="40"/>
      <c r="L26" s="85">
        <v>46371</v>
      </c>
      <c r="M26" s="40"/>
      <c r="N26" s="40"/>
      <c r="O26" s="40"/>
      <c r="P26" s="40"/>
      <c r="Q26" s="40">
        <v>0</v>
      </c>
      <c r="S26" s="85">
        <v>46371</v>
      </c>
      <c r="T26" s="40"/>
      <c r="U26" s="40"/>
      <c r="V26" s="40"/>
      <c r="W26" s="40"/>
      <c r="X26" s="40">
        <v>0</v>
      </c>
      <c r="Z26" s="85">
        <v>46371</v>
      </c>
      <c r="AA26" s="40"/>
      <c r="AB26" s="40"/>
      <c r="AC26" s="40"/>
      <c r="AD26" s="40"/>
      <c r="AE26" s="40">
        <v>0</v>
      </c>
      <c r="AG26" s="85">
        <v>46371</v>
      </c>
      <c r="AH26" s="40"/>
      <c r="AI26" s="40"/>
      <c r="AJ26" s="40"/>
      <c r="AK26" s="40">
        <v>0</v>
      </c>
      <c r="AM26" s="85">
        <v>46371</v>
      </c>
      <c r="AN26" s="40"/>
      <c r="AO26" s="87">
        <v>0</v>
      </c>
      <c r="AP26" s="40"/>
      <c r="AQ26" s="40">
        <v>0</v>
      </c>
      <c r="AS26" s="85">
        <v>46371</v>
      </c>
      <c r="AT26" s="40"/>
      <c r="AU26" s="87"/>
      <c r="AV26" s="40"/>
      <c r="AW26" s="40"/>
      <c r="AX26" s="40">
        <f t="shared" si="5"/>
        <v>0</v>
      </c>
      <c r="AY26" s="67"/>
      <c r="AZ26" s="85">
        <v>46371</v>
      </c>
      <c r="BB26" s="40"/>
      <c r="BC26" s="87"/>
      <c r="BE26" s="40">
        <v>0</v>
      </c>
      <c r="BF26" s="67"/>
      <c r="BG26" s="85">
        <v>46371</v>
      </c>
      <c r="BH26" s="40"/>
      <c r="BI26" s="87"/>
      <c r="BJ26" s="40"/>
      <c r="BK26" s="40"/>
      <c r="BL26" s="40">
        <v>0</v>
      </c>
      <c r="BM26" s="67"/>
      <c r="BN26" s="85">
        <v>46371</v>
      </c>
      <c r="BO26" s="40"/>
      <c r="BP26" s="87"/>
      <c r="BQ26" s="40">
        <f t="shared" si="6"/>
        <v>0</v>
      </c>
      <c r="BR26" s="40">
        <f t="shared" si="7"/>
        <v>0</v>
      </c>
      <c r="BS26" s="67"/>
      <c r="BT26" s="85">
        <v>46371</v>
      </c>
      <c r="BU26" s="40"/>
      <c r="BV26" s="102"/>
      <c r="BW26" s="40"/>
      <c r="BX26" s="40"/>
      <c r="BY26" s="40">
        <f t="shared" si="8"/>
        <v>0</v>
      </c>
      <c r="BZ26" s="40"/>
      <c r="CA26" s="85">
        <v>46371</v>
      </c>
      <c r="CF26" s="40">
        <f t="shared" si="9"/>
        <v>0</v>
      </c>
      <c r="CG26" s="85"/>
      <c r="CH26" s="85">
        <v>46371</v>
      </c>
      <c r="CN26" s="85">
        <v>46371</v>
      </c>
      <c r="CO26" s="40"/>
      <c r="CP26" s="40"/>
      <c r="CQ26" s="40"/>
      <c r="CR26" s="40">
        <v>0</v>
      </c>
      <c r="CT26" s="85">
        <v>46371</v>
      </c>
      <c r="CX26" s="40">
        <v>0</v>
      </c>
      <c r="CZ26" s="85">
        <v>46371</v>
      </c>
      <c r="DE26" s="40">
        <f t="shared" si="10"/>
        <v>0</v>
      </c>
      <c r="DG26" s="85">
        <v>46371</v>
      </c>
      <c r="DH26" s="40"/>
      <c r="DI26" s="87"/>
      <c r="DJ26" s="40"/>
      <c r="DK26" s="40"/>
      <c r="DL26" s="40">
        <f t="shared" si="11"/>
        <v>0</v>
      </c>
      <c r="DN26" s="85">
        <v>46371</v>
      </c>
      <c r="DS26" s="40">
        <f t="shared" si="12"/>
        <v>0</v>
      </c>
      <c r="DU26" s="85">
        <v>46371</v>
      </c>
      <c r="DZ26" s="40">
        <f t="shared" si="13"/>
        <v>0</v>
      </c>
    </row>
    <row r="27" spans="2:130" x14ac:dyDescent="0.4">
      <c r="B27" s="85">
        <v>46568</v>
      </c>
      <c r="C27" s="85"/>
      <c r="D27" s="85">
        <v>46553</v>
      </c>
      <c r="E27" s="40">
        <f t="shared" si="0"/>
        <v>0</v>
      </c>
      <c r="F27" s="40">
        <f t="shared" si="1"/>
        <v>0</v>
      </c>
      <c r="G27" s="40">
        <f t="shared" si="2"/>
        <v>0</v>
      </c>
      <c r="H27" s="39">
        <v>0</v>
      </c>
      <c r="I27" s="40">
        <f t="shared" si="3"/>
        <v>0</v>
      </c>
      <c r="J27" s="40">
        <f>SUM(I26:I27)</f>
        <v>0</v>
      </c>
      <c r="L27" s="85">
        <v>46553</v>
      </c>
      <c r="M27" s="40"/>
      <c r="N27" s="40"/>
      <c r="O27" s="40"/>
      <c r="P27" s="40"/>
      <c r="Q27" s="40">
        <v>0</v>
      </c>
      <c r="S27" s="85">
        <v>46553</v>
      </c>
      <c r="T27" s="40"/>
      <c r="U27" s="40"/>
      <c r="V27" s="40"/>
      <c r="W27" s="40"/>
      <c r="X27" s="40">
        <v>0</v>
      </c>
      <c r="Z27" s="85">
        <v>46553</v>
      </c>
      <c r="AA27" s="40"/>
      <c r="AB27" s="40"/>
      <c r="AC27" s="40"/>
      <c r="AD27" s="40"/>
      <c r="AE27" s="40">
        <v>0</v>
      </c>
      <c r="AG27" s="85">
        <v>46553</v>
      </c>
      <c r="AH27" s="40"/>
      <c r="AI27" s="40"/>
      <c r="AJ27" s="40"/>
      <c r="AK27" s="40">
        <v>0</v>
      </c>
      <c r="AM27" s="85">
        <v>46553</v>
      </c>
      <c r="AN27" s="40"/>
      <c r="AO27" s="87">
        <v>0</v>
      </c>
      <c r="AP27" s="40"/>
      <c r="AQ27" s="40">
        <v>0</v>
      </c>
      <c r="AS27" s="85">
        <v>46553</v>
      </c>
      <c r="AT27" s="40"/>
      <c r="AU27" s="87"/>
      <c r="AV27" s="40"/>
      <c r="AW27" s="40"/>
      <c r="AX27" s="40">
        <f t="shared" si="5"/>
        <v>0</v>
      </c>
      <c r="AY27" s="67"/>
      <c r="AZ27" s="85">
        <v>46553</v>
      </c>
      <c r="BB27" s="40"/>
      <c r="BC27" s="87"/>
      <c r="BE27" s="40">
        <v>0</v>
      </c>
      <c r="BF27" s="67"/>
      <c r="BG27" s="85">
        <v>46553</v>
      </c>
      <c r="BH27" s="40"/>
      <c r="BI27" s="87"/>
      <c r="BJ27" s="40"/>
      <c r="BK27" s="40"/>
      <c r="BL27" s="40">
        <v>0</v>
      </c>
      <c r="BM27" s="67"/>
      <c r="BN27" s="85">
        <v>46553</v>
      </c>
      <c r="BO27" s="40"/>
      <c r="BP27" s="87"/>
      <c r="BQ27" s="40">
        <f t="shared" si="6"/>
        <v>0</v>
      </c>
      <c r="BR27" s="40">
        <f t="shared" si="7"/>
        <v>0</v>
      </c>
      <c r="BS27" s="67"/>
      <c r="BT27" s="85">
        <v>46553</v>
      </c>
      <c r="BU27" s="40"/>
      <c r="BV27" s="102"/>
      <c r="BW27" s="40"/>
      <c r="BX27" s="40"/>
      <c r="BY27" s="40">
        <f t="shared" si="8"/>
        <v>0</v>
      </c>
      <c r="BZ27" s="40"/>
      <c r="CA27" s="85">
        <v>46553</v>
      </c>
      <c r="CF27" s="40">
        <f t="shared" si="9"/>
        <v>0</v>
      </c>
      <c r="CG27" s="85"/>
      <c r="CH27" s="85">
        <v>46553</v>
      </c>
      <c r="CN27" s="85">
        <v>46553</v>
      </c>
      <c r="CO27" s="40"/>
      <c r="CP27" s="40"/>
      <c r="CQ27" s="40"/>
      <c r="CR27" s="40">
        <v>0</v>
      </c>
      <c r="CT27" s="85">
        <v>46553</v>
      </c>
      <c r="CX27" s="40">
        <v>0</v>
      </c>
      <c r="CZ27" s="85">
        <v>46553</v>
      </c>
      <c r="DE27" s="40">
        <f t="shared" si="10"/>
        <v>0</v>
      </c>
      <c r="DG27" s="85">
        <v>46553</v>
      </c>
      <c r="DH27" s="40"/>
      <c r="DI27" s="87"/>
      <c r="DJ27" s="40"/>
      <c r="DK27" s="40"/>
      <c r="DL27" s="40">
        <f t="shared" si="11"/>
        <v>0</v>
      </c>
      <c r="DN27" s="85">
        <v>46553</v>
      </c>
      <c r="DS27" s="40">
        <f t="shared" si="12"/>
        <v>0</v>
      </c>
      <c r="DU27" s="85">
        <v>46553</v>
      </c>
      <c r="DZ27" s="40">
        <f t="shared" si="13"/>
        <v>0</v>
      </c>
    </row>
    <row r="28" spans="2:130" x14ac:dyDescent="0.4">
      <c r="B28" s="85">
        <v>46752</v>
      </c>
      <c r="C28" s="85"/>
      <c r="D28" s="85">
        <v>46736</v>
      </c>
      <c r="E28" s="40">
        <f t="shared" si="0"/>
        <v>0</v>
      </c>
      <c r="F28" s="40">
        <f t="shared" si="1"/>
        <v>0</v>
      </c>
      <c r="G28" s="40">
        <f t="shared" si="2"/>
        <v>0</v>
      </c>
      <c r="H28" s="39">
        <v>0</v>
      </c>
      <c r="I28" s="40">
        <f t="shared" si="3"/>
        <v>0</v>
      </c>
      <c r="J28" s="40"/>
      <c r="L28" s="85">
        <v>46736</v>
      </c>
      <c r="M28" s="40"/>
      <c r="N28" s="40"/>
      <c r="O28" s="40"/>
      <c r="P28" s="40"/>
      <c r="Q28" s="40">
        <v>0</v>
      </c>
      <c r="S28" s="85">
        <v>46736</v>
      </c>
      <c r="T28" s="40"/>
      <c r="U28" s="40"/>
      <c r="V28" s="40"/>
      <c r="W28" s="40"/>
      <c r="X28" s="40">
        <v>0</v>
      </c>
      <c r="Z28" s="85">
        <v>46736</v>
      </c>
      <c r="AA28" s="40"/>
      <c r="AB28" s="40"/>
      <c r="AC28" s="40"/>
      <c r="AD28" s="40"/>
      <c r="AE28" s="40">
        <v>0</v>
      </c>
      <c r="AG28" s="85">
        <v>46736</v>
      </c>
      <c r="AH28" s="40"/>
      <c r="AI28" s="40"/>
      <c r="AJ28" s="40"/>
      <c r="AK28" s="40">
        <v>0</v>
      </c>
      <c r="AM28" s="85">
        <v>46736</v>
      </c>
      <c r="AN28" s="40"/>
      <c r="AO28" s="87">
        <v>0</v>
      </c>
      <c r="AP28" s="40"/>
      <c r="AQ28" s="40">
        <v>0</v>
      </c>
      <c r="AS28" s="85">
        <v>46736</v>
      </c>
      <c r="AT28" s="40"/>
      <c r="AU28" s="87"/>
      <c r="AV28" s="40"/>
      <c r="AW28" s="40"/>
      <c r="AX28" s="40">
        <f t="shared" si="5"/>
        <v>0</v>
      </c>
      <c r="AY28" s="67"/>
      <c r="AZ28" s="85">
        <v>46736</v>
      </c>
      <c r="BB28" s="40"/>
      <c r="BC28" s="87"/>
      <c r="BE28" s="40">
        <v>0</v>
      </c>
      <c r="BF28" s="67"/>
      <c r="BG28" s="85">
        <v>46736</v>
      </c>
      <c r="BH28" s="40"/>
      <c r="BI28" s="87"/>
      <c r="BJ28" s="40"/>
      <c r="BK28" s="40"/>
      <c r="BL28" s="40">
        <v>0</v>
      </c>
      <c r="BM28" s="67"/>
      <c r="BN28" s="85">
        <v>46736</v>
      </c>
      <c r="BO28" s="40"/>
      <c r="BP28" s="87"/>
      <c r="BQ28" s="40">
        <f t="shared" si="6"/>
        <v>0</v>
      </c>
      <c r="BR28" s="40">
        <f t="shared" si="7"/>
        <v>0</v>
      </c>
      <c r="BS28" s="67"/>
      <c r="BT28" s="85">
        <v>46736</v>
      </c>
      <c r="BU28" s="40"/>
      <c r="BV28" s="102"/>
      <c r="BW28" s="40"/>
      <c r="BX28" s="40"/>
      <c r="BY28" s="40">
        <f t="shared" si="8"/>
        <v>0</v>
      </c>
      <c r="BZ28" s="40"/>
      <c r="CA28" s="85">
        <v>46736</v>
      </c>
      <c r="CF28" s="40">
        <f t="shared" si="9"/>
        <v>0</v>
      </c>
      <c r="CG28" s="85"/>
      <c r="CH28" s="85">
        <v>46736</v>
      </c>
      <c r="CN28" s="85">
        <v>46736</v>
      </c>
      <c r="CO28" s="40"/>
      <c r="CP28" s="40"/>
      <c r="CQ28" s="40"/>
      <c r="CR28" s="40">
        <v>0</v>
      </c>
      <c r="CT28" s="85">
        <v>46736</v>
      </c>
      <c r="CX28" s="40">
        <v>0</v>
      </c>
      <c r="CZ28" s="85">
        <v>46736</v>
      </c>
      <c r="DE28" s="40">
        <f t="shared" si="10"/>
        <v>0</v>
      </c>
      <c r="DG28" s="85">
        <v>46736</v>
      </c>
      <c r="DH28" s="40"/>
      <c r="DI28" s="87"/>
      <c r="DJ28" s="40"/>
      <c r="DK28" s="40"/>
      <c r="DL28" s="40">
        <f t="shared" si="11"/>
        <v>0</v>
      </c>
      <c r="DN28" s="85">
        <v>46736</v>
      </c>
      <c r="DS28" s="40">
        <f t="shared" si="12"/>
        <v>0</v>
      </c>
      <c r="DU28" s="85">
        <v>46736</v>
      </c>
      <c r="DZ28" s="40">
        <f t="shared" si="13"/>
        <v>0</v>
      </c>
    </row>
    <row r="29" spans="2:130" x14ac:dyDescent="0.4">
      <c r="B29" s="85">
        <v>46934</v>
      </c>
      <c r="C29" s="85"/>
      <c r="D29" s="85">
        <v>46919</v>
      </c>
      <c r="E29" s="40">
        <f t="shared" si="0"/>
        <v>0</v>
      </c>
      <c r="F29" s="40">
        <f t="shared" si="1"/>
        <v>0</v>
      </c>
      <c r="G29" s="40">
        <f t="shared" si="2"/>
        <v>0</v>
      </c>
      <c r="H29" s="39">
        <v>0</v>
      </c>
      <c r="I29" s="40">
        <f t="shared" si="3"/>
        <v>0</v>
      </c>
      <c r="J29" s="40">
        <f>SUM(I28:I29)</f>
        <v>0</v>
      </c>
      <c r="L29" s="85">
        <v>46919</v>
      </c>
      <c r="M29" s="40"/>
      <c r="N29" s="40"/>
      <c r="O29" s="40"/>
      <c r="P29" s="40"/>
      <c r="Q29" s="40">
        <v>0</v>
      </c>
      <c r="S29" s="85">
        <v>46919</v>
      </c>
      <c r="T29" s="40"/>
      <c r="U29" s="40"/>
      <c r="V29" s="40"/>
      <c r="W29" s="40"/>
      <c r="X29" s="40">
        <v>0</v>
      </c>
      <c r="Z29" s="85">
        <v>46919</v>
      </c>
      <c r="AA29" s="40"/>
      <c r="AB29" s="40"/>
      <c r="AC29" s="40"/>
      <c r="AD29" s="40"/>
      <c r="AE29" s="40">
        <v>0</v>
      </c>
      <c r="AG29" s="85">
        <v>46919</v>
      </c>
      <c r="AH29" s="40"/>
      <c r="AI29" s="40"/>
      <c r="AJ29" s="40"/>
      <c r="AK29" s="40">
        <v>0</v>
      </c>
      <c r="AM29" s="85">
        <v>46919</v>
      </c>
      <c r="AN29" s="40"/>
      <c r="AO29" s="87">
        <v>0</v>
      </c>
      <c r="AP29" s="40"/>
      <c r="AQ29" s="40">
        <v>0</v>
      </c>
      <c r="AS29" s="85">
        <v>46919</v>
      </c>
      <c r="AT29" s="40"/>
      <c r="AU29" s="87"/>
      <c r="AV29" s="40"/>
      <c r="AW29" s="40"/>
      <c r="AX29" s="40">
        <f t="shared" si="5"/>
        <v>0</v>
      </c>
      <c r="AY29" s="67"/>
      <c r="AZ29" s="85">
        <v>46919</v>
      </c>
      <c r="BB29" s="40"/>
      <c r="BC29" s="87"/>
      <c r="BE29" s="40">
        <v>0</v>
      </c>
      <c r="BF29" s="67"/>
      <c r="BG29" s="85">
        <v>46919</v>
      </c>
      <c r="BH29" s="40"/>
      <c r="BI29" s="87"/>
      <c r="BJ29" s="40"/>
      <c r="BK29" s="40"/>
      <c r="BL29" s="40">
        <v>0</v>
      </c>
      <c r="BM29" s="67"/>
      <c r="BN29" s="85">
        <v>46919</v>
      </c>
      <c r="BO29" s="40"/>
      <c r="BP29" s="87"/>
      <c r="BQ29" s="40">
        <f t="shared" si="6"/>
        <v>0</v>
      </c>
      <c r="BR29" s="40">
        <f t="shared" si="7"/>
        <v>0</v>
      </c>
      <c r="BS29" s="67"/>
      <c r="BT29" s="85">
        <v>46919</v>
      </c>
      <c r="BU29" s="40"/>
      <c r="BV29" s="102"/>
      <c r="BW29" s="40"/>
      <c r="BX29" s="40"/>
      <c r="BY29" s="40">
        <f t="shared" si="8"/>
        <v>0</v>
      </c>
      <c r="BZ29" s="40"/>
      <c r="CA29" s="85">
        <v>46919</v>
      </c>
      <c r="CF29" s="40">
        <f t="shared" si="9"/>
        <v>0</v>
      </c>
      <c r="CG29" s="85"/>
      <c r="CH29" s="85">
        <v>46919</v>
      </c>
      <c r="CN29" s="85">
        <v>46919</v>
      </c>
      <c r="CO29" s="40"/>
      <c r="CP29" s="40"/>
      <c r="CQ29" s="40"/>
      <c r="CR29" s="40">
        <v>0</v>
      </c>
      <c r="CT29" s="85">
        <v>46919</v>
      </c>
      <c r="CX29" s="40">
        <v>0</v>
      </c>
      <c r="CZ29" s="85">
        <v>46919</v>
      </c>
      <c r="DE29" s="40">
        <f t="shared" si="10"/>
        <v>0</v>
      </c>
      <c r="DG29" s="85">
        <v>46919</v>
      </c>
      <c r="DH29" s="40"/>
      <c r="DI29" s="87"/>
      <c r="DJ29" s="40"/>
      <c r="DK29" s="40"/>
      <c r="DL29" s="40">
        <f t="shared" si="11"/>
        <v>0</v>
      </c>
      <c r="DN29" s="85">
        <v>46919</v>
      </c>
      <c r="DS29" s="40">
        <f t="shared" si="12"/>
        <v>0</v>
      </c>
      <c r="DU29" s="85">
        <v>46919</v>
      </c>
      <c r="DZ29" s="40">
        <f t="shared" si="13"/>
        <v>0</v>
      </c>
    </row>
    <row r="30" spans="2:130" x14ac:dyDescent="0.4">
      <c r="B30" s="85">
        <v>47118</v>
      </c>
      <c r="C30" s="85"/>
      <c r="D30" s="85">
        <v>47102</v>
      </c>
      <c r="E30" s="40">
        <f t="shared" si="0"/>
        <v>0</v>
      </c>
      <c r="F30" s="40">
        <f t="shared" si="1"/>
        <v>0</v>
      </c>
      <c r="G30" s="40">
        <f t="shared" si="2"/>
        <v>0</v>
      </c>
      <c r="H30" s="39">
        <v>0</v>
      </c>
      <c r="I30" s="40">
        <f t="shared" si="3"/>
        <v>0</v>
      </c>
      <c r="J30" s="40"/>
      <c r="L30" s="85">
        <v>47102</v>
      </c>
      <c r="M30" s="40"/>
      <c r="N30" s="40"/>
      <c r="O30" s="40"/>
      <c r="P30" s="40"/>
      <c r="Q30" s="40">
        <v>0</v>
      </c>
      <c r="S30" s="85">
        <v>47102</v>
      </c>
      <c r="T30" s="40"/>
      <c r="U30" s="40"/>
      <c r="V30" s="40"/>
      <c r="W30" s="40"/>
      <c r="X30" s="40">
        <v>0</v>
      </c>
      <c r="Z30" s="85">
        <v>47102</v>
      </c>
      <c r="AA30" s="40"/>
      <c r="AB30" s="40"/>
      <c r="AC30" s="40"/>
      <c r="AD30" s="40"/>
      <c r="AE30" s="40">
        <v>0</v>
      </c>
      <c r="AG30" s="85">
        <v>47102</v>
      </c>
      <c r="AH30" s="40"/>
      <c r="AI30" s="40"/>
      <c r="AJ30" s="40"/>
      <c r="AK30" s="40">
        <v>0</v>
      </c>
      <c r="AM30" s="85">
        <v>47102</v>
      </c>
      <c r="AN30" s="40"/>
      <c r="AO30" s="87">
        <v>0</v>
      </c>
      <c r="AP30" s="40"/>
      <c r="AQ30" s="40">
        <v>0</v>
      </c>
      <c r="AS30" s="85">
        <v>47102</v>
      </c>
      <c r="AT30" s="40"/>
      <c r="AU30" s="87"/>
      <c r="AV30" s="40"/>
      <c r="AW30" s="40"/>
      <c r="AX30" s="40">
        <f t="shared" si="5"/>
        <v>0</v>
      </c>
      <c r="AY30" s="67"/>
      <c r="AZ30" s="85">
        <v>47102</v>
      </c>
      <c r="BB30" s="40"/>
      <c r="BC30" s="87"/>
      <c r="BE30" s="40">
        <v>0</v>
      </c>
      <c r="BF30" s="67"/>
      <c r="BG30" s="85">
        <v>47102</v>
      </c>
      <c r="BH30" s="40"/>
      <c r="BI30" s="87"/>
      <c r="BJ30" s="40"/>
      <c r="BK30" s="40"/>
      <c r="BL30" s="40">
        <v>0</v>
      </c>
      <c r="BM30" s="67"/>
      <c r="BN30" s="85">
        <v>47102</v>
      </c>
      <c r="BO30" s="40"/>
      <c r="BP30" s="87"/>
      <c r="BQ30" s="40">
        <f t="shared" si="6"/>
        <v>0</v>
      </c>
      <c r="BR30" s="40">
        <f t="shared" si="7"/>
        <v>0</v>
      </c>
      <c r="BS30" s="67"/>
      <c r="BT30" s="85">
        <v>47102</v>
      </c>
      <c r="BU30" s="40"/>
      <c r="BV30" s="102"/>
      <c r="BW30" s="40"/>
      <c r="BX30" s="40"/>
      <c r="BY30" s="40">
        <f t="shared" si="8"/>
        <v>0</v>
      </c>
      <c r="BZ30" s="40"/>
      <c r="CA30" s="85">
        <v>47102</v>
      </c>
      <c r="CF30" s="40">
        <f t="shared" si="9"/>
        <v>0</v>
      </c>
      <c r="CG30" s="85"/>
      <c r="CH30" s="85">
        <v>47102</v>
      </c>
      <c r="CN30" s="85">
        <v>47102</v>
      </c>
      <c r="CO30" s="40"/>
      <c r="CP30" s="40"/>
      <c r="CQ30" s="40"/>
      <c r="CR30" s="40">
        <v>0</v>
      </c>
      <c r="CT30" s="85">
        <v>47102</v>
      </c>
      <c r="CX30" s="40">
        <v>0</v>
      </c>
      <c r="CZ30" s="85">
        <v>47102</v>
      </c>
      <c r="DE30" s="40">
        <f t="shared" si="10"/>
        <v>0</v>
      </c>
      <c r="DG30" s="85">
        <v>47102</v>
      </c>
      <c r="DH30" s="40"/>
      <c r="DI30" s="87"/>
      <c r="DJ30" s="40"/>
      <c r="DK30" s="40"/>
      <c r="DL30" s="40">
        <f t="shared" si="11"/>
        <v>0</v>
      </c>
      <c r="DN30" s="85">
        <v>47102</v>
      </c>
      <c r="DS30" s="40">
        <f t="shared" si="12"/>
        <v>0</v>
      </c>
      <c r="DU30" s="85">
        <v>47102</v>
      </c>
      <c r="DZ30" s="40">
        <f t="shared" si="13"/>
        <v>0</v>
      </c>
    </row>
    <row r="31" spans="2:130" x14ac:dyDescent="0.4">
      <c r="B31" s="85">
        <v>47299</v>
      </c>
      <c r="C31" s="85"/>
      <c r="D31" s="85">
        <v>47284</v>
      </c>
      <c r="E31" s="40">
        <f t="shared" si="0"/>
        <v>0</v>
      </c>
      <c r="F31" s="40">
        <f t="shared" si="1"/>
        <v>0</v>
      </c>
      <c r="G31" s="40">
        <f t="shared" si="2"/>
        <v>0</v>
      </c>
      <c r="H31" s="39">
        <v>0</v>
      </c>
      <c r="I31" s="40">
        <f t="shared" si="3"/>
        <v>0</v>
      </c>
      <c r="J31" s="40">
        <f>SUM(I30:I31)</f>
        <v>0</v>
      </c>
      <c r="L31" s="85">
        <v>47284</v>
      </c>
      <c r="M31" s="40"/>
      <c r="N31" s="40"/>
      <c r="O31" s="40"/>
      <c r="P31" s="40"/>
      <c r="Q31" s="40">
        <v>0</v>
      </c>
      <c r="S31" s="85">
        <v>47284</v>
      </c>
      <c r="T31" s="40"/>
      <c r="U31" s="40"/>
      <c r="V31" s="40"/>
      <c r="W31" s="40"/>
      <c r="X31" s="40">
        <v>0</v>
      </c>
      <c r="Z31" s="85">
        <v>47284</v>
      </c>
      <c r="AA31" s="40"/>
      <c r="AB31" s="40"/>
      <c r="AC31" s="40"/>
      <c r="AD31" s="40"/>
      <c r="AE31" s="40">
        <v>0</v>
      </c>
      <c r="AG31" s="85">
        <v>47284</v>
      </c>
      <c r="AH31" s="40"/>
      <c r="AI31" s="40"/>
      <c r="AJ31" s="40"/>
      <c r="AK31" s="40">
        <v>0</v>
      </c>
      <c r="AM31" s="85">
        <v>47284</v>
      </c>
      <c r="AN31" s="40"/>
      <c r="AO31" s="87">
        <v>0</v>
      </c>
      <c r="AP31" s="40"/>
      <c r="AQ31" s="40">
        <v>0</v>
      </c>
      <c r="AS31" s="85">
        <v>47284</v>
      </c>
      <c r="AT31" s="40"/>
      <c r="AU31" s="87"/>
      <c r="AV31" s="40"/>
      <c r="AW31" s="40"/>
      <c r="AX31" s="40">
        <f t="shared" si="5"/>
        <v>0</v>
      </c>
      <c r="AY31" s="67"/>
      <c r="AZ31" s="85">
        <v>47284</v>
      </c>
      <c r="BB31" s="40"/>
      <c r="BC31" s="87"/>
      <c r="BE31" s="40">
        <v>0</v>
      </c>
      <c r="BF31" s="67"/>
      <c r="BG31" s="85">
        <v>47284</v>
      </c>
      <c r="BH31" s="40"/>
      <c r="BI31" s="87"/>
      <c r="BJ31" s="40"/>
      <c r="BK31" s="40"/>
      <c r="BL31" s="40">
        <v>0</v>
      </c>
      <c r="BM31" s="67"/>
      <c r="BN31" s="85">
        <v>47284</v>
      </c>
      <c r="BO31" s="40"/>
      <c r="BP31" s="87"/>
      <c r="BQ31" s="40">
        <f t="shared" si="6"/>
        <v>0</v>
      </c>
      <c r="BR31" s="40">
        <f t="shared" si="7"/>
        <v>0</v>
      </c>
      <c r="BS31" s="67"/>
      <c r="BT31" s="85">
        <v>47284</v>
      </c>
      <c r="BU31" s="40"/>
      <c r="BV31" s="102"/>
      <c r="BW31" s="40"/>
      <c r="BX31" s="40"/>
      <c r="BY31" s="40">
        <f t="shared" si="8"/>
        <v>0</v>
      </c>
      <c r="BZ31" s="40"/>
      <c r="CA31" s="85">
        <v>47284</v>
      </c>
      <c r="CF31" s="40">
        <f t="shared" si="9"/>
        <v>0</v>
      </c>
      <c r="CG31" s="85"/>
      <c r="CH31" s="85">
        <v>47284</v>
      </c>
      <c r="CN31" s="85">
        <v>47284</v>
      </c>
      <c r="CO31" s="40"/>
      <c r="CP31" s="40"/>
      <c r="CQ31" s="40"/>
      <c r="CR31" s="40">
        <v>0</v>
      </c>
      <c r="CT31" s="85">
        <v>47284</v>
      </c>
      <c r="CX31" s="40">
        <v>0</v>
      </c>
      <c r="CZ31" s="85">
        <v>47284</v>
      </c>
      <c r="DE31" s="40">
        <f t="shared" si="10"/>
        <v>0</v>
      </c>
      <c r="DG31" s="85">
        <v>47284</v>
      </c>
      <c r="DH31" s="40"/>
      <c r="DI31" s="87"/>
      <c r="DJ31" s="40"/>
      <c r="DK31" s="40"/>
      <c r="DL31" s="40">
        <f t="shared" si="11"/>
        <v>0</v>
      </c>
      <c r="DN31" s="85">
        <v>47284</v>
      </c>
      <c r="DS31" s="40">
        <f t="shared" si="12"/>
        <v>0</v>
      </c>
      <c r="DU31" s="85">
        <v>47284</v>
      </c>
      <c r="DZ31" s="40">
        <f t="shared" si="13"/>
        <v>0</v>
      </c>
    </row>
    <row r="32" spans="2:130" x14ac:dyDescent="0.4">
      <c r="B32" s="85">
        <v>47483</v>
      </c>
      <c r="C32" s="85"/>
      <c r="D32" s="85">
        <v>47467</v>
      </c>
      <c r="E32" s="40">
        <f t="shared" si="0"/>
        <v>0</v>
      </c>
      <c r="F32" s="40">
        <f t="shared" si="1"/>
        <v>0</v>
      </c>
      <c r="G32" s="40">
        <f t="shared" si="2"/>
        <v>0</v>
      </c>
      <c r="H32" s="39">
        <v>0</v>
      </c>
      <c r="I32" s="40">
        <f t="shared" si="3"/>
        <v>0</v>
      </c>
      <c r="J32" s="40"/>
      <c r="L32" s="85">
        <v>47467</v>
      </c>
      <c r="M32" s="40"/>
      <c r="N32" s="40"/>
      <c r="O32" s="40"/>
      <c r="P32" s="40"/>
      <c r="Q32" s="40">
        <v>0</v>
      </c>
      <c r="S32" s="85">
        <v>47467</v>
      </c>
      <c r="T32" s="40"/>
      <c r="U32" s="40"/>
      <c r="V32" s="40"/>
      <c r="W32" s="40"/>
      <c r="X32" s="40">
        <v>0</v>
      </c>
      <c r="Z32" s="85">
        <v>47467</v>
      </c>
      <c r="AA32" s="40"/>
      <c r="AB32" s="40"/>
      <c r="AC32" s="40"/>
      <c r="AD32" s="40"/>
      <c r="AE32" s="40">
        <v>0</v>
      </c>
      <c r="AG32" s="85">
        <v>47467</v>
      </c>
      <c r="AH32" s="40"/>
      <c r="AI32" s="40"/>
      <c r="AJ32" s="40"/>
      <c r="AK32" s="40">
        <v>0</v>
      </c>
      <c r="AM32" s="85">
        <v>47467</v>
      </c>
      <c r="AN32" s="40"/>
      <c r="AO32" s="87">
        <v>0</v>
      </c>
      <c r="AP32" s="40"/>
      <c r="AQ32" s="40">
        <v>0</v>
      </c>
      <c r="AS32" s="85">
        <v>47467</v>
      </c>
      <c r="AT32" s="40"/>
      <c r="AU32" s="87"/>
      <c r="AV32" s="40"/>
      <c r="AW32" s="40"/>
      <c r="AX32" s="40">
        <f t="shared" si="5"/>
        <v>0</v>
      </c>
      <c r="AY32" s="67"/>
      <c r="AZ32" s="85">
        <v>47467</v>
      </c>
      <c r="BB32" s="40"/>
      <c r="BC32" s="87"/>
      <c r="BE32" s="40">
        <v>0</v>
      </c>
      <c r="BF32" s="67"/>
      <c r="BG32" s="85">
        <v>47467</v>
      </c>
      <c r="BH32" s="40"/>
      <c r="BI32" s="87"/>
      <c r="BJ32" s="40"/>
      <c r="BK32" s="40"/>
      <c r="BL32" s="40">
        <v>0</v>
      </c>
      <c r="BM32" s="67"/>
      <c r="BN32" s="85">
        <v>47467</v>
      </c>
      <c r="BO32" s="40"/>
      <c r="BP32" s="87"/>
      <c r="BQ32" s="40">
        <f t="shared" si="6"/>
        <v>0</v>
      </c>
      <c r="BR32" s="40">
        <f t="shared" si="7"/>
        <v>0</v>
      </c>
      <c r="BS32" s="67"/>
      <c r="BT32" s="85">
        <v>47467</v>
      </c>
      <c r="BU32" s="40"/>
      <c r="BV32" s="102"/>
      <c r="BW32" s="40"/>
      <c r="BX32" s="40"/>
      <c r="BY32" s="40">
        <f t="shared" si="8"/>
        <v>0</v>
      </c>
      <c r="BZ32" s="40"/>
      <c r="CA32" s="85">
        <v>47467</v>
      </c>
      <c r="CF32" s="40">
        <f t="shared" si="9"/>
        <v>0</v>
      </c>
      <c r="CG32" s="85"/>
      <c r="CH32" s="85">
        <v>47467</v>
      </c>
      <c r="CN32" s="85">
        <v>47467</v>
      </c>
      <c r="CR32" s="40">
        <v>0</v>
      </c>
      <c r="CT32" s="85">
        <v>47467</v>
      </c>
      <c r="CX32" s="40">
        <v>0</v>
      </c>
      <c r="CZ32" s="85">
        <v>47467</v>
      </c>
      <c r="DE32" s="40">
        <f t="shared" si="10"/>
        <v>0</v>
      </c>
      <c r="DG32" s="85">
        <v>47467</v>
      </c>
      <c r="DL32" s="40">
        <f t="shared" si="11"/>
        <v>0</v>
      </c>
      <c r="DN32" s="85">
        <v>47467</v>
      </c>
      <c r="DS32" s="40">
        <f t="shared" si="12"/>
        <v>0</v>
      </c>
      <c r="DU32" s="85">
        <v>47467</v>
      </c>
      <c r="DZ32" s="40">
        <f t="shared" si="13"/>
        <v>0</v>
      </c>
    </row>
    <row r="33" spans="2:130" x14ac:dyDescent="0.4">
      <c r="B33" s="85">
        <v>47664</v>
      </c>
      <c r="C33" s="85"/>
      <c r="D33" s="85">
        <v>47649</v>
      </c>
      <c r="E33" s="40">
        <f t="shared" si="0"/>
        <v>0</v>
      </c>
      <c r="F33" s="40">
        <f t="shared" si="1"/>
        <v>0</v>
      </c>
      <c r="G33" s="40">
        <f t="shared" si="2"/>
        <v>0</v>
      </c>
      <c r="H33" s="39">
        <v>0</v>
      </c>
      <c r="I33" s="40">
        <f t="shared" si="3"/>
        <v>0</v>
      </c>
      <c r="J33" s="40">
        <f>SUM(I32:I33)</f>
        <v>0</v>
      </c>
      <c r="L33" s="85">
        <v>47649</v>
      </c>
      <c r="M33" s="40"/>
      <c r="N33" s="40"/>
      <c r="O33" s="40"/>
      <c r="P33" s="40"/>
      <c r="Q33" s="40">
        <v>0</v>
      </c>
      <c r="S33" s="85">
        <v>47649</v>
      </c>
      <c r="T33" s="40"/>
      <c r="U33" s="40"/>
      <c r="V33" s="40"/>
      <c r="W33" s="40"/>
      <c r="X33" s="40">
        <v>0</v>
      </c>
      <c r="Z33" s="85">
        <v>47649</v>
      </c>
      <c r="AA33" s="40"/>
      <c r="AB33" s="40"/>
      <c r="AC33" s="40"/>
      <c r="AD33" s="40"/>
      <c r="AE33" s="40">
        <v>0</v>
      </c>
      <c r="AG33" s="85">
        <v>47649</v>
      </c>
      <c r="AH33" s="40"/>
      <c r="AI33" s="40"/>
      <c r="AJ33" s="40"/>
      <c r="AK33" s="40">
        <v>0</v>
      </c>
      <c r="AM33" s="85">
        <v>47649</v>
      </c>
      <c r="AN33" s="40"/>
      <c r="AO33" s="87">
        <v>0</v>
      </c>
      <c r="AP33" s="40"/>
      <c r="AQ33" s="40">
        <v>0</v>
      </c>
      <c r="AS33" s="85">
        <v>47649</v>
      </c>
      <c r="AT33" s="40"/>
      <c r="AU33" s="87"/>
      <c r="AV33" s="40"/>
      <c r="AW33" s="40"/>
      <c r="AX33" s="40">
        <f t="shared" si="5"/>
        <v>0</v>
      </c>
      <c r="AY33" s="67"/>
      <c r="AZ33" s="85">
        <v>47649</v>
      </c>
      <c r="BB33" s="40"/>
      <c r="BC33" s="87"/>
      <c r="BE33" s="40">
        <v>0</v>
      </c>
      <c r="BF33" s="67"/>
      <c r="BG33" s="85">
        <v>47649</v>
      </c>
      <c r="BH33" s="40"/>
      <c r="BI33" s="87"/>
      <c r="BJ33" s="40"/>
      <c r="BK33" s="40"/>
      <c r="BL33" s="40">
        <v>0</v>
      </c>
      <c r="BM33" s="67"/>
      <c r="BN33" s="85">
        <v>47649</v>
      </c>
      <c r="BO33" s="40"/>
      <c r="BP33" s="87"/>
      <c r="BQ33" s="40">
        <f t="shared" si="6"/>
        <v>0</v>
      </c>
      <c r="BR33" s="40">
        <f t="shared" si="7"/>
        <v>0</v>
      </c>
      <c r="BS33" s="67"/>
      <c r="BT33" s="85">
        <v>47649</v>
      </c>
      <c r="BU33" s="40"/>
      <c r="BV33" s="102"/>
      <c r="BW33" s="40"/>
      <c r="BX33" s="40"/>
      <c r="BY33" s="40">
        <f t="shared" si="8"/>
        <v>0</v>
      </c>
      <c r="BZ33" s="40"/>
      <c r="CA33" s="85">
        <v>47649</v>
      </c>
      <c r="CF33" s="40">
        <f t="shared" si="9"/>
        <v>0</v>
      </c>
      <c r="CG33" s="85"/>
      <c r="CH33" s="85">
        <v>47649</v>
      </c>
      <c r="CN33" s="85">
        <v>47649</v>
      </c>
      <c r="CR33" s="40">
        <v>0</v>
      </c>
      <c r="CT33" s="85">
        <v>47649</v>
      </c>
      <c r="CX33" s="40">
        <v>0</v>
      </c>
      <c r="CZ33" s="85">
        <v>47649</v>
      </c>
      <c r="DE33" s="40">
        <f t="shared" si="10"/>
        <v>0</v>
      </c>
      <c r="DG33" s="85">
        <v>47649</v>
      </c>
      <c r="DL33" s="40">
        <f t="shared" si="11"/>
        <v>0</v>
      </c>
      <c r="DN33" s="85">
        <v>47649</v>
      </c>
      <c r="DS33" s="40">
        <f t="shared" si="12"/>
        <v>0</v>
      </c>
      <c r="DU33" s="85">
        <v>47649</v>
      </c>
      <c r="DZ33" s="40">
        <f t="shared" si="13"/>
        <v>0</v>
      </c>
    </row>
    <row r="34" spans="2:130" x14ac:dyDescent="0.4">
      <c r="B34" s="85">
        <v>47848</v>
      </c>
      <c r="C34" s="85"/>
      <c r="D34" s="85">
        <v>47832</v>
      </c>
      <c r="E34" s="40">
        <f t="shared" si="0"/>
        <v>0</v>
      </c>
      <c r="F34" s="40">
        <f t="shared" si="1"/>
        <v>0</v>
      </c>
      <c r="G34" s="40">
        <f t="shared" si="2"/>
        <v>0</v>
      </c>
      <c r="H34" s="39">
        <v>0</v>
      </c>
      <c r="I34" s="40">
        <f t="shared" si="3"/>
        <v>0</v>
      </c>
      <c r="J34" s="40"/>
      <c r="L34" s="85">
        <v>47832</v>
      </c>
      <c r="M34" s="40"/>
      <c r="N34" s="40"/>
      <c r="O34" s="40"/>
      <c r="P34" s="40"/>
      <c r="Q34" s="40">
        <v>0</v>
      </c>
      <c r="S34" s="85">
        <v>47832</v>
      </c>
      <c r="T34" s="40"/>
      <c r="U34" s="40"/>
      <c r="V34" s="40"/>
      <c r="W34" s="40"/>
      <c r="X34" s="40">
        <v>0</v>
      </c>
      <c r="Z34" s="85">
        <v>47832</v>
      </c>
      <c r="AA34" s="40"/>
      <c r="AB34" s="40"/>
      <c r="AC34" s="40"/>
      <c r="AD34" s="40"/>
      <c r="AE34" s="40">
        <v>0</v>
      </c>
      <c r="AG34" s="85">
        <v>47832</v>
      </c>
      <c r="AH34" s="40"/>
      <c r="AI34" s="40"/>
      <c r="AJ34" s="40"/>
      <c r="AK34" s="40">
        <v>0</v>
      </c>
      <c r="AM34" s="85">
        <v>47832</v>
      </c>
      <c r="AN34" s="40"/>
      <c r="AO34" s="87">
        <v>0</v>
      </c>
      <c r="AP34" s="40"/>
      <c r="AQ34" s="40">
        <v>0</v>
      </c>
      <c r="AS34" s="85">
        <v>47832</v>
      </c>
      <c r="AT34" s="40"/>
      <c r="AU34" s="87"/>
      <c r="AV34" s="40"/>
      <c r="AW34" s="40"/>
      <c r="AX34" s="40">
        <f t="shared" si="5"/>
        <v>0</v>
      </c>
      <c r="AY34" s="67"/>
      <c r="AZ34" s="85">
        <v>47832</v>
      </c>
      <c r="BB34" s="40"/>
      <c r="BC34" s="87"/>
      <c r="BE34" s="40">
        <v>0</v>
      </c>
      <c r="BF34" s="67"/>
      <c r="BG34" s="85">
        <v>47832</v>
      </c>
      <c r="BH34" s="40"/>
      <c r="BI34" s="87"/>
      <c r="BJ34" s="40"/>
      <c r="BK34" s="40"/>
      <c r="BL34" s="40">
        <v>0</v>
      </c>
      <c r="BM34" s="67"/>
      <c r="BN34" s="85">
        <v>47832</v>
      </c>
      <c r="BO34" s="40"/>
      <c r="BP34" s="87"/>
      <c r="BQ34" s="40">
        <f t="shared" si="6"/>
        <v>0</v>
      </c>
      <c r="BR34" s="40">
        <f t="shared" si="7"/>
        <v>0</v>
      </c>
      <c r="BS34" s="67"/>
      <c r="BT34" s="85">
        <v>47832</v>
      </c>
      <c r="BU34" s="40"/>
      <c r="BV34" s="102"/>
      <c r="BW34" s="40"/>
      <c r="BX34" s="40"/>
      <c r="BY34" s="40">
        <f t="shared" si="8"/>
        <v>0</v>
      </c>
      <c r="BZ34" s="40"/>
      <c r="CA34" s="85">
        <v>47832</v>
      </c>
      <c r="CF34" s="40">
        <f t="shared" si="9"/>
        <v>0</v>
      </c>
      <c r="CG34" s="85"/>
      <c r="CH34" s="85">
        <v>47832</v>
      </c>
      <c r="CN34" s="85">
        <v>47832</v>
      </c>
      <c r="CR34" s="40">
        <v>0</v>
      </c>
      <c r="CT34" s="85">
        <v>47832</v>
      </c>
      <c r="CX34" s="40">
        <v>0</v>
      </c>
      <c r="CZ34" s="85">
        <v>47832</v>
      </c>
      <c r="DE34" s="40">
        <f t="shared" si="10"/>
        <v>0</v>
      </c>
      <c r="DG34" s="85">
        <v>47832</v>
      </c>
      <c r="DL34" s="40">
        <f t="shared" si="11"/>
        <v>0</v>
      </c>
      <c r="DN34" s="85">
        <v>47832</v>
      </c>
      <c r="DS34" s="40">
        <f t="shared" si="12"/>
        <v>0</v>
      </c>
      <c r="DU34" s="85">
        <v>47832</v>
      </c>
      <c r="DZ34" s="40">
        <f t="shared" si="13"/>
        <v>0</v>
      </c>
    </row>
    <row r="35" spans="2:130" x14ac:dyDescent="0.4">
      <c r="B35" s="85">
        <v>48029</v>
      </c>
      <c r="C35" s="85"/>
      <c r="D35" s="85">
        <v>48014</v>
      </c>
      <c r="E35" s="40">
        <f t="shared" si="0"/>
        <v>0</v>
      </c>
      <c r="F35" s="40">
        <f t="shared" si="1"/>
        <v>0</v>
      </c>
      <c r="G35" s="40">
        <f t="shared" si="2"/>
        <v>0</v>
      </c>
      <c r="H35" s="39">
        <v>0</v>
      </c>
      <c r="I35" s="40">
        <f t="shared" si="3"/>
        <v>0</v>
      </c>
      <c r="J35" s="40">
        <f>SUM(I34:I35)</f>
        <v>0</v>
      </c>
      <c r="L35" s="85">
        <v>48014</v>
      </c>
      <c r="M35" s="40"/>
      <c r="N35" s="40"/>
      <c r="O35" s="40"/>
      <c r="P35" s="40"/>
      <c r="Q35" s="40">
        <v>0</v>
      </c>
      <c r="S35" s="85">
        <v>48014</v>
      </c>
      <c r="T35" s="40"/>
      <c r="U35" s="40"/>
      <c r="V35" s="40"/>
      <c r="W35" s="40"/>
      <c r="X35" s="40">
        <v>0</v>
      </c>
      <c r="Z35" s="85">
        <v>48014</v>
      </c>
      <c r="AA35" s="40"/>
      <c r="AB35" s="40"/>
      <c r="AC35" s="40"/>
      <c r="AD35" s="40"/>
      <c r="AE35" s="40">
        <v>0</v>
      </c>
      <c r="AG35" s="85">
        <v>48014</v>
      </c>
      <c r="AH35" s="40"/>
      <c r="AI35" s="40"/>
      <c r="AJ35" s="40"/>
      <c r="AK35" s="40">
        <v>0</v>
      </c>
      <c r="AM35" s="85">
        <v>48014</v>
      </c>
      <c r="AN35" s="40"/>
      <c r="AO35" s="87">
        <v>0</v>
      </c>
      <c r="AP35" s="40"/>
      <c r="AQ35" s="40">
        <v>0</v>
      </c>
      <c r="AS35" s="85">
        <v>48014</v>
      </c>
      <c r="AT35" s="40"/>
      <c r="AU35" s="87"/>
      <c r="AV35" s="40"/>
      <c r="AW35" s="40"/>
      <c r="AX35" s="40">
        <f t="shared" si="5"/>
        <v>0</v>
      </c>
      <c r="AY35" s="67"/>
      <c r="AZ35" s="85">
        <v>48014</v>
      </c>
      <c r="BB35" s="40"/>
      <c r="BC35" s="87"/>
      <c r="BE35" s="40">
        <v>0</v>
      </c>
      <c r="BF35" s="67"/>
      <c r="BG35" s="85">
        <v>48014</v>
      </c>
      <c r="BH35" s="40"/>
      <c r="BI35" s="87"/>
      <c r="BJ35" s="40"/>
      <c r="BK35" s="40"/>
      <c r="BL35" s="40">
        <v>0</v>
      </c>
      <c r="BM35" s="67"/>
      <c r="BN35" s="85">
        <v>48014</v>
      </c>
      <c r="BO35" s="40"/>
      <c r="BP35" s="87"/>
      <c r="BQ35" s="40">
        <f t="shared" si="6"/>
        <v>0</v>
      </c>
      <c r="BR35" s="40">
        <f t="shared" si="7"/>
        <v>0</v>
      </c>
      <c r="BS35" s="67"/>
      <c r="BT35" s="85">
        <v>48014</v>
      </c>
      <c r="BU35" s="40"/>
      <c r="BV35" s="102"/>
      <c r="BW35" s="40"/>
      <c r="BX35" s="40"/>
      <c r="BY35" s="40">
        <f t="shared" si="8"/>
        <v>0</v>
      </c>
      <c r="BZ35" s="40"/>
      <c r="CA35" s="85">
        <v>48014</v>
      </c>
      <c r="CF35" s="40">
        <f t="shared" si="9"/>
        <v>0</v>
      </c>
      <c r="CG35" s="85"/>
      <c r="CH35" s="85">
        <v>48014</v>
      </c>
      <c r="CN35" s="85">
        <v>48014</v>
      </c>
      <c r="CR35" s="40">
        <v>0</v>
      </c>
      <c r="CT35" s="85">
        <v>48014</v>
      </c>
      <c r="CX35" s="40">
        <v>0</v>
      </c>
      <c r="CZ35" s="85">
        <v>48014</v>
      </c>
      <c r="DE35" s="40">
        <f t="shared" si="10"/>
        <v>0</v>
      </c>
      <c r="DG35" s="85">
        <v>48014</v>
      </c>
      <c r="DL35" s="40">
        <f t="shared" si="11"/>
        <v>0</v>
      </c>
      <c r="DN35" s="85">
        <v>48014</v>
      </c>
      <c r="DS35" s="40">
        <f t="shared" si="12"/>
        <v>0</v>
      </c>
      <c r="DU35" s="85">
        <v>48014</v>
      </c>
      <c r="DZ35" s="40">
        <f t="shared" si="13"/>
        <v>0</v>
      </c>
    </row>
    <row r="36" spans="2:130" x14ac:dyDescent="0.4">
      <c r="B36" s="85">
        <v>48213</v>
      </c>
      <c r="C36" s="85"/>
      <c r="D36" s="85">
        <v>48197</v>
      </c>
      <c r="E36" s="40">
        <f t="shared" si="0"/>
        <v>0</v>
      </c>
      <c r="F36" s="40">
        <f t="shared" si="1"/>
        <v>0</v>
      </c>
      <c r="G36" s="40">
        <f t="shared" si="2"/>
        <v>0</v>
      </c>
      <c r="H36" s="39">
        <v>0</v>
      </c>
      <c r="I36" s="40">
        <f t="shared" si="3"/>
        <v>0</v>
      </c>
      <c r="J36" s="40"/>
      <c r="L36" s="85">
        <v>48197</v>
      </c>
      <c r="M36" s="40"/>
      <c r="N36" s="40"/>
      <c r="O36" s="40"/>
      <c r="P36" s="40"/>
      <c r="Q36" s="40">
        <v>0</v>
      </c>
      <c r="S36" s="85">
        <v>48197</v>
      </c>
      <c r="T36" s="40"/>
      <c r="U36" s="40"/>
      <c r="V36" s="40"/>
      <c r="W36" s="40"/>
      <c r="X36" s="40">
        <v>0</v>
      </c>
      <c r="Z36" s="85">
        <v>48197</v>
      </c>
      <c r="AA36" s="40"/>
      <c r="AB36" s="40"/>
      <c r="AC36" s="40"/>
      <c r="AD36" s="40"/>
      <c r="AE36" s="40">
        <v>0</v>
      </c>
      <c r="AG36" s="85">
        <v>48197</v>
      </c>
      <c r="AH36" s="40"/>
      <c r="AI36" s="40"/>
      <c r="AJ36" s="40"/>
      <c r="AK36" s="40">
        <v>0</v>
      </c>
      <c r="AM36" s="85">
        <v>48197</v>
      </c>
      <c r="AN36" s="40"/>
      <c r="AO36" s="87">
        <v>0</v>
      </c>
      <c r="AP36" s="40"/>
      <c r="AQ36" s="40">
        <v>0</v>
      </c>
      <c r="AS36" s="85">
        <v>48197</v>
      </c>
      <c r="AT36" s="40"/>
      <c r="AU36" s="87"/>
      <c r="AV36" s="40"/>
      <c r="AW36" s="40"/>
      <c r="AX36" s="40">
        <f t="shared" si="5"/>
        <v>0</v>
      </c>
      <c r="AY36" s="67"/>
      <c r="AZ36" s="85">
        <v>48197</v>
      </c>
      <c r="BB36" s="40"/>
      <c r="BC36" s="87"/>
      <c r="BE36" s="40">
        <v>0</v>
      </c>
      <c r="BF36" s="67"/>
      <c r="BG36" s="85">
        <v>48197</v>
      </c>
      <c r="BH36" s="40"/>
      <c r="BI36" s="87"/>
      <c r="BJ36" s="40"/>
      <c r="BK36" s="40"/>
      <c r="BL36" s="40">
        <v>0</v>
      </c>
      <c r="BM36" s="67"/>
      <c r="BN36" s="85">
        <v>48197</v>
      </c>
      <c r="BO36" s="40"/>
      <c r="BP36" s="87"/>
      <c r="BQ36" s="40">
        <f t="shared" si="6"/>
        <v>0</v>
      </c>
      <c r="BR36" s="40">
        <f t="shared" si="7"/>
        <v>0</v>
      </c>
      <c r="BS36" s="67"/>
      <c r="BT36" s="85">
        <v>48197</v>
      </c>
      <c r="BU36" s="40"/>
      <c r="BV36" s="102"/>
      <c r="BW36" s="40"/>
      <c r="BX36" s="40"/>
      <c r="BY36" s="40">
        <f t="shared" si="8"/>
        <v>0</v>
      </c>
      <c r="BZ36" s="40"/>
      <c r="CA36" s="85">
        <v>48197</v>
      </c>
      <c r="CF36" s="40">
        <f t="shared" si="9"/>
        <v>0</v>
      </c>
      <c r="CG36" s="85"/>
      <c r="CH36" s="85">
        <v>48197</v>
      </c>
      <c r="CN36" s="85">
        <v>48197</v>
      </c>
      <c r="CR36" s="40">
        <v>0</v>
      </c>
      <c r="CT36" s="85">
        <v>48197</v>
      </c>
      <c r="CX36" s="40">
        <v>0</v>
      </c>
      <c r="CZ36" s="85">
        <v>48197</v>
      </c>
      <c r="DE36" s="40">
        <f t="shared" si="10"/>
        <v>0</v>
      </c>
      <c r="DG36" s="85">
        <v>48197</v>
      </c>
      <c r="DL36" s="40">
        <f t="shared" si="11"/>
        <v>0</v>
      </c>
      <c r="DN36" s="85">
        <v>48197</v>
      </c>
      <c r="DS36" s="40">
        <f t="shared" si="12"/>
        <v>0</v>
      </c>
      <c r="DU36" s="85">
        <v>48197</v>
      </c>
      <c r="DZ36" s="40">
        <f t="shared" si="13"/>
        <v>0</v>
      </c>
    </row>
    <row r="37" spans="2:130" x14ac:dyDescent="0.4">
      <c r="B37" s="85">
        <v>48395</v>
      </c>
      <c r="C37" s="85"/>
      <c r="D37" s="85">
        <v>48380</v>
      </c>
      <c r="E37" s="40">
        <f t="shared" si="0"/>
        <v>0</v>
      </c>
      <c r="F37" s="40">
        <f t="shared" si="1"/>
        <v>0</v>
      </c>
      <c r="G37" s="40">
        <f t="shared" si="2"/>
        <v>0</v>
      </c>
      <c r="H37" s="39">
        <v>0</v>
      </c>
      <c r="I37" s="40">
        <f t="shared" si="3"/>
        <v>0</v>
      </c>
      <c r="J37" s="40">
        <f>SUM(I36:I37)</f>
        <v>0</v>
      </c>
      <c r="L37" s="85">
        <v>48380</v>
      </c>
      <c r="M37" s="40"/>
      <c r="N37" s="40"/>
      <c r="O37" s="40"/>
      <c r="P37" s="40"/>
      <c r="Q37" s="40">
        <v>0</v>
      </c>
      <c r="S37" s="85">
        <v>48380</v>
      </c>
      <c r="T37" s="40"/>
      <c r="U37" s="40"/>
      <c r="V37" s="40"/>
      <c r="W37" s="40"/>
      <c r="X37" s="40">
        <v>0</v>
      </c>
      <c r="Z37" s="85">
        <v>48380</v>
      </c>
      <c r="AA37" s="40"/>
      <c r="AB37" s="40"/>
      <c r="AC37" s="40"/>
      <c r="AD37" s="40"/>
      <c r="AE37" s="40">
        <v>0</v>
      </c>
      <c r="AG37" s="85">
        <v>48380</v>
      </c>
      <c r="AH37" s="40"/>
      <c r="AI37" s="40"/>
      <c r="AJ37" s="40"/>
      <c r="AK37" s="40">
        <v>0</v>
      </c>
      <c r="AM37" s="85">
        <v>48380</v>
      </c>
      <c r="AN37" s="40"/>
      <c r="AO37" s="87">
        <v>0</v>
      </c>
      <c r="AP37" s="40"/>
      <c r="AQ37" s="40">
        <v>0</v>
      </c>
      <c r="AS37" s="85">
        <v>48380</v>
      </c>
      <c r="AT37" s="40"/>
      <c r="AU37" s="87"/>
      <c r="AV37" s="40"/>
      <c r="AW37" s="40"/>
      <c r="AX37" s="40">
        <f t="shared" si="5"/>
        <v>0</v>
      </c>
      <c r="AY37" s="67"/>
      <c r="AZ37" s="85">
        <v>48380</v>
      </c>
      <c r="BB37" s="40"/>
      <c r="BC37" s="87"/>
      <c r="BE37" s="40">
        <v>0</v>
      </c>
      <c r="BF37" s="67"/>
      <c r="BG37" s="85">
        <v>48380</v>
      </c>
      <c r="BH37" s="40"/>
      <c r="BI37" s="87"/>
      <c r="BJ37" s="40"/>
      <c r="BK37" s="40"/>
      <c r="BL37" s="40">
        <v>0</v>
      </c>
      <c r="BM37" s="67"/>
      <c r="BN37" s="85">
        <v>48380</v>
      </c>
      <c r="BO37" s="40"/>
      <c r="BP37" s="87"/>
      <c r="BQ37" s="40">
        <f t="shared" si="6"/>
        <v>0</v>
      </c>
      <c r="BR37" s="40">
        <f t="shared" si="7"/>
        <v>0</v>
      </c>
      <c r="BS37" s="67"/>
      <c r="BT37" s="85">
        <v>48380</v>
      </c>
      <c r="BU37" s="40"/>
      <c r="BV37" s="102"/>
      <c r="BW37" s="40"/>
      <c r="BX37" s="40"/>
      <c r="BY37" s="40">
        <f t="shared" si="8"/>
        <v>0</v>
      </c>
      <c r="BZ37" s="40"/>
      <c r="CA37" s="85">
        <v>48380</v>
      </c>
      <c r="CF37" s="40">
        <f t="shared" si="9"/>
        <v>0</v>
      </c>
      <c r="CG37" s="85"/>
      <c r="CH37" s="85">
        <v>48380</v>
      </c>
      <c r="CN37" s="85">
        <v>48380</v>
      </c>
      <c r="CR37" s="40">
        <v>0</v>
      </c>
      <c r="CT37" s="85">
        <v>48380</v>
      </c>
      <c r="CX37" s="40">
        <v>0</v>
      </c>
      <c r="CZ37" s="85">
        <v>48380</v>
      </c>
      <c r="DE37" s="40">
        <f t="shared" si="10"/>
        <v>0</v>
      </c>
      <c r="DG37" s="85">
        <v>48380</v>
      </c>
      <c r="DL37" s="40">
        <f t="shared" si="11"/>
        <v>0</v>
      </c>
      <c r="DN37" s="85">
        <v>48380</v>
      </c>
      <c r="DS37" s="40">
        <f t="shared" si="12"/>
        <v>0</v>
      </c>
      <c r="DU37" s="85">
        <v>48380</v>
      </c>
      <c r="DZ37" s="40">
        <f t="shared" si="13"/>
        <v>0</v>
      </c>
    </row>
    <row r="38" spans="2:130" x14ac:dyDescent="0.4">
      <c r="B38" s="85">
        <v>48579</v>
      </c>
      <c r="C38" s="85"/>
      <c r="D38" s="85">
        <v>48563</v>
      </c>
      <c r="E38" s="40">
        <f t="shared" si="0"/>
        <v>0</v>
      </c>
      <c r="F38" s="40">
        <f t="shared" si="1"/>
        <v>0</v>
      </c>
      <c r="G38" s="40">
        <f t="shared" si="2"/>
        <v>0</v>
      </c>
      <c r="H38" s="39">
        <v>0</v>
      </c>
      <c r="I38" s="40">
        <f t="shared" si="3"/>
        <v>0</v>
      </c>
      <c r="J38" s="40"/>
      <c r="L38" s="85">
        <v>48563</v>
      </c>
      <c r="M38" s="40"/>
      <c r="N38" s="40"/>
      <c r="O38" s="40"/>
      <c r="P38" s="40"/>
      <c r="Q38" s="40">
        <v>0</v>
      </c>
      <c r="S38" s="85">
        <v>48563</v>
      </c>
      <c r="T38" s="40"/>
      <c r="U38" s="40"/>
      <c r="V38" s="40"/>
      <c r="W38" s="40"/>
      <c r="X38" s="40">
        <v>0</v>
      </c>
      <c r="Z38" s="85">
        <v>48563</v>
      </c>
      <c r="AA38" s="40"/>
      <c r="AB38" s="40"/>
      <c r="AC38" s="40"/>
      <c r="AD38" s="40"/>
      <c r="AE38" s="40">
        <v>0</v>
      </c>
      <c r="AG38" s="85">
        <v>48563</v>
      </c>
      <c r="AH38" s="40"/>
      <c r="AI38" s="40"/>
      <c r="AJ38" s="40"/>
      <c r="AK38" s="40">
        <v>0</v>
      </c>
      <c r="AM38" s="85">
        <v>48563</v>
      </c>
      <c r="AN38" s="40"/>
      <c r="AO38" s="87">
        <v>0</v>
      </c>
      <c r="AP38" s="40"/>
      <c r="AQ38" s="40">
        <v>0</v>
      </c>
      <c r="AS38" s="85">
        <v>48563</v>
      </c>
      <c r="AT38" s="40"/>
      <c r="AU38" s="87"/>
      <c r="AV38" s="40"/>
      <c r="AW38" s="40"/>
      <c r="AX38" s="40">
        <f t="shared" si="5"/>
        <v>0</v>
      </c>
      <c r="AY38" s="67"/>
      <c r="AZ38" s="85">
        <v>48563</v>
      </c>
      <c r="BB38" s="40"/>
      <c r="BC38" s="87"/>
      <c r="BE38" s="40">
        <v>0</v>
      </c>
      <c r="BF38" s="67"/>
      <c r="BG38" s="85">
        <v>48563</v>
      </c>
      <c r="BH38" s="40"/>
      <c r="BI38" s="87"/>
      <c r="BJ38" s="40"/>
      <c r="BK38" s="40"/>
      <c r="BL38" s="40">
        <v>0</v>
      </c>
      <c r="BM38" s="67"/>
      <c r="BN38" s="85">
        <v>48563</v>
      </c>
      <c r="BO38" s="40"/>
      <c r="BP38" s="87"/>
      <c r="BQ38" s="40">
        <f t="shared" si="6"/>
        <v>0</v>
      </c>
      <c r="BR38" s="40">
        <f t="shared" si="7"/>
        <v>0</v>
      </c>
      <c r="BS38" s="67"/>
      <c r="BT38" s="85">
        <v>48563</v>
      </c>
      <c r="BU38" s="40"/>
      <c r="BV38" s="102"/>
      <c r="BW38" s="40"/>
      <c r="BX38" s="40"/>
      <c r="BY38" s="40">
        <f t="shared" si="8"/>
        <v>0</v>
      </c>
      <c r="BZ38" s="40"/>
      <c r="CA38" s="85">
        <v>48563</v>
      </c>
      <c r="CF38" s="40">
        <f t="shared" si="9"/>
        <v>0</v>
      </c>
      <c r="CG38" s="85"/>
      <c r="CH38" s="85">
        <v>48563</v>
      </c>
      <c r="CN38" s="85">
        <v>48563</v>
      </c>
      <c r="CR38" s="40">
        <v>0</v>
      </c>
      <c r="CT38" s="85">
        <v>48563</v>
      </c>
      <c r="CX38" s="40">
        <v>0</v>
      </c>
      <c r="CZ38" s="85">
        <v>48563</v>
      </c>
      <c r="DE38" s="40">
        <f t="shared" si="10"/>
        <v>0</v>
      </c>
      <c r="DG38" s="85">
        <v>48563</v>
      </c>
      <c r="DL38" s="40">
        <f t="shared" si="11"/>
        <v>0</v>
      </c>
      <c r="DN38" s="85">
        <v>48563</v>
      </c>
      <c r="DS38" s="40">
        <f t="shared" si="12"/>
        <v>0</v>
      </c>
      <c r="DU38" s="85">
        <v>48563</v>
      </c>
      <c r="DZ38" s="40">
        <f t="shared" si="13"/>
        <v>0</v>
      </c>
    </row>
    <row r="39" spans="2:130" x14ac:dyDescent="0.4">
      <c r="B39" s="85">
        <v>48760</v>
      </c>
      <c r="C39" s="85"/>
      <c r="D39" s="85">
        <v>48745</v>
      </c>
      <c r="E39" s="40">
        <f t="shared" si="0"/>
        <v>0</v>
      </c>
      <c r="F39" s="40">
        <f t="shared" si="1"/>
        <v>0</v>
      </c>
      <c r="G39" s="40">
        <f t="shared" si="2"/>
        <v>0</v>
      </c>
      <c r="H39" s="39">
        <v>0</v>
      </c>
      <c r="I39" s="40">
        <f t="shared" si="3"/>
        <v>0</v>
      </c>
      <c r="J39" s="40">
        <f>SUM(I38:I39)</f>
        <v>0</v>
      </c>
      <c r="L39" s="85">
        <v>48745</v>
      </c>
      <c r="M39" s="40"/>
      <c r="N39" s="40"/>
      <c r="O39" s="40"/>
      <c r="P39" s="40"/>
      <c r="Q39" s="40">
        <v>0</v>
      </c>
      <c r="S39" s="85">
        <v>48745</v>
      </c>
      <c r="T39" s="40"/>
      <c r="U39" s="40"/>
      <c r="V39" s="40"/>
      <c r="W39" s="40"/>
      <c r="X39" s="40">
        <v>0</v>
      </c>
      <c r="Z39" s="85">
        <v>48745</v>
      </c>
      <c r="AA39" s="40"/>
      <c r="AB39" s="40"/>
      <c r="AC39" s="40"/>
      <c r="AD39" s="40"/>
      <c r="AE39" s="40">
        <v>0</v>
      </c>
      <c r="AG39" s="85">
        <v>48745</v>
      </c>
      <c r="AH39" s="40"/>
      <c r="AI39" s="40"/>
      <c r="AJ39" s="40"/>
      <c r="AK39" s="40">
        <v>0</v>
      </c>
      <c r="AM39" s="85">
        <v>48745</v>
      </c>
      <c r="AN39" s="40"/>
      <c r="AO39" s="87">
        <v>0</v>
      </c>
      <c r="AP39" s="40"/>
      <c r="AQ39" s="40">
        <v>0</v>
      </c>
      <c r="AS39" s="85">
        <v>48745</v>
      </c>
      <c r="AT39" s="40"/>
      <c r="AU39" s="87"/>
      <c r="AV39" s="40"/>
      <c r="AW39" s="40"/>
      <c r="AX39" s="40">
        <f t="shared" si="5"/>
        <v>0</v>
      </c>
      <c r="AY39" s="67"/>
      <c r="AZ39" s="85">
        <v>48745</v>
      </c>
      <c r="BB39" s="40"/>
      <c r="BC39" s="87"/>
      <c r="BE39" s="40">
        <v>0</v>
      </c>
      <c r="BF39" s="67"/>
      <c r="BG39" s="85">
        <v>48745</v>
      </c>
      <c r="BH39" s="40"/>
      <c r="BI39" s="87"/>
      <c r="BJ39" s="40"/>
      <c r="BK39" s="40"/>
      <c r="BL39" s="40">
        <v>0</v>
      </c>
      <c r="BM39" s="67"/>
      <c r="BN39" s="85">
        <v>48745</v>
      </c>
      <c r="BO39" s="40"/>
      <c r="BP39" s="87"/>
      <c r="BQ39" s="40">
        <f t="shared" si="6"/>
        <v>0</v>
      </c>
      <c r="BR39" s="40">
        <f t="shared" si="7"/>
        <v>0</v>
      </c>
      <c r="BS39" s="67"/>
      <c r="BT39" s="85">
        <v>48745</v>
      </c>
      <c r="BU39" s="40"/>
      <c r="BV39" s="40"/>
      <c r="BW39" s="40"/>
      <c r="BX39" s="40"/>
      <c r="BY39" s="40">
        <f t="shared" si="8"/>
        <v>0</v>
      </c>
      <c r="BZ39" s="40"/>
      <c r="CA39" s="85">
        <v>48745</v>
      </c>
      <c r="CF39" s="40">
        <f t="shared" si="9"/>
        <v>0</v>
      </c>
      <c r="CG39" s="85"/>
      <c r="CH39" s="85">
        <v>48745</v>
      </c>
      <c r="CN39" s="85">
        <v>48745</v>
      </c>
      <c r="CR39" s="40">
        <v>0</v>
      </c>
      <c r="CT39" s="85">
        <v>48745</v>
      </c>
      <c r="CX39" s="40">
        <v>0</v>
      </c>
      <c r="CZ39" s="85">
        <v>48745</v>
      </c>
      <c r="DE39" s="40">
        <f t="shared" si="10"/>
        <v>0</v>
      </c>
      <c r="DG39" s="85">
        <v>48745</v>
      </c>
      <c r="DL39" s="40">
        <f t="shared" si="11"/>
        <v>0</v>
      </c>
      <c r="DN39" s="85">
        <v>48745</v>
      </c>
      <c r="DS39" s="40">
        <f t="shared" si="12"/>
        <v>0</v>
      </c>
      <c r="DU39" s="85">
        <v>48745</v>
      </c>
      <c r="DZ39" s="40">
        <f t="shared" si="13"/>
        <v>0</v>
      </c>
    </row>
    <row r="40" spans="2:130" x14ac:dyDescent="0.4">
      <c r="B40" s="85">
        <v>48944</v>
      </c>
      <c r="C40" s="85"/>
      <c r="D40" s="85">
        <v>48928</v>
      </c>
      <c r="E40" s="40">
        <f t="shared" si="0"/>
        <v>0</v>
      </c>
      <c r="F40" s="40">
        <f t="shared" si="1"/>
        <v>0</v>
      </c>
      <c r="G40" s="40">
        <f t="shared" si="2"/>
        <v>0</v>
      </c>
      <c r="H40" s="39">
        <v>0</v>
      </c>
      <c r="I40" s="40">
        <f t="shared" si="3"/>
        <v>0</v>
      </c>
      <c r="J40" s="40"/>
      <c r="L40" s="85">
        <v>48928</v>
      </c>
      <c r="M40" s="40"/>
      <c r="N40" s="40"/>
      <c r="O40" s="40"/>
      <c r="P40" s="40"/>
      <c r="Q40" s="40">
        <v>0</v>
      </c>
      <c r="S40" s="85">
        <v>48928</v>
      </c>
      <c r="T40" s="40"/>
      <c r="U40" s="40"/>
      <c r="V40" s="40"/>
      <c r="W40" s="40"/>
      <c r="X40" s="40">
        <v>0</v>
      </c>
      <c r="Z40" s="85">
        <v>48928</v>
      </c>
      <c r="AA40" s="40"/>
      <c r="AB40" s="40"/>
      <c r="AC40" s="40"/>
      <c r="AD40" s="40"/>
      <c r="AE40" s="40">
        <v>0</v>
      </c>
      <c r="AG40" s="85">
        <v>48928</v>
      </c>
      <c r="AH40" s="40"/>
      <c r="AI40" s="40"/>
      <c r="AJ40" s="40"/>
      <c r="AK40" s="40">
        <v>0</v>
      </c>
      <c r="AM40" s="85">
        <v>48928</v>
      </c>
      <c r="AN40" s="40"/>
      <c r="AO40" s="87">
        <v>0</v>
      </c>
      <c r="AP40" s="40"/>
      <c r="AQ40" s="40">
        <v>0</v>
      </c>
      <c r="AS40" s="85">
        <v>48928</v>
      </c>
      <c r="AT40" s="40"/>
      <c r="AU40" s="87"/>
      <c r="AV40" s="40"/>
      <c r="AW40" s="40"/>
      <c r="AX40" s="40">
        <f t="shared" si="5"/>
        <v>0</v>
      </c>
      <c r="AY40" s="67"/>
      <c r="AZ40" s="85">
        <v>48928</v>
      </c>
      <c r="BB40" s="40"/>
      <c r="BC40" s="87"/>
      <c r="BE40" s="40">
        <v>0</v>
      </c>
      <c r="BF40" s="67"/>
      <c r="BG40" s="85">
        <v>48928</v>
      </c>
      <c r="BH40" s="40"/>
      <c r="BI40" s="87"/>
      <c r="BJ40" s="40"/>
      <c r="BK40" s="40"/>
      <c r="BL40" s="40">
        <v>0</v>
      </c>
      <c r="BM40" s="67"/>
      <c r="BN40" s="85">
        <v>48928</v>
      </c>
      <c r="BO40" s="40"/>
      <c r="BP40" s="87"/>
      <c r="BQ40" s="40">
        <f t="shared" si="6"/>
        <v>0</v>
      </c>
      <c r="BR40" s="40">
        <f t="shared" si="7"/>
        <v>0</v>
      </c>
      <c r="BS40" s="67"/>
      <c r="BT40" s="85">
        <v>48928</v>
      </c>
      <c r="BU40" s="40"/>
      <c r="BV40" s="40"/>
      <c r="BW40" s="40"/>
      <c r="BX40" s="40"/>
      <c r="BY40" s="40">
        <f t="shared" si="8"/>
        <v>0</v>
      </c>
      <c r="BZ40" s="40"/>
      <c r="CA40" s="85">
        <v>48928</v>
      </c>
      <c r="CF40" s="40">
        <f t="shared" si="9"/>
        <v>0</v>
      </c>
      <c r="CG40" s="85"/>
      <c r="CH40" s="85">
        <v>48928</v>
      </c>
      <c r="CN40" s="85">
        <v>48928</v>
      </c>
      <c r="CR40" s="40">
        <v>0</v>
      </c>
      <c r="CT40" s="85">
        <v>48928</v>
      </c>
      <c r="CX40" s="40">
        <v>0</v>
      </c>
      <c r="CZ40" s="85">
        <v>48928</v>
      </c>
      <c r="DE40" s="40">
        <f t="shared" si="10"/>
        <v>0</v>
      </c>
      <c r="DG40" s="85">
        <v>48928</v>
      </c>
      <c r="DL40" s="40">
        <f t="shared" si="11"/>
        <v>0</v>
      </c>
      <c r="DN40" s="85">
        <v>48928</v>
      </c>
      <c r="DS40" s="40">
        <f t="shared" si="12"/>
        <v>0</v>
      </c>
      <c r="DU40" s="85">
        <v>48928</v>
      </c>
      <c r="DZ40" s="40">
        <f t="shared" si="13"/>
        <v>0</v>
      </c>
    </row>
    <row r="41" spans="2:130" x14ac:dyDescent="0.4">
      <c r="B41" s="85">
        <v>49125</v>
      </c>
      <c r="C41" s="85"/>
      <c r="D41" s="85">
        <v>49110</v>
      </c>
      <c r="E41" s="40">
        <f t="shared" si="0"/>
        <v>0</v>
      </c>
      <c r="F41" s="40">
        <f t="shared" si="1"/>
        <v>0</v>
      </c>
      <c r="G41" s="40">
        <f t="shared" si="2"/>
        <v>0</v>
      </c>
      <c r="H41" s="39">
        <v>0</v>
      </c>
      <c r="I41" s="40">
        <f t="shared" si="3"/>
        <v>0</v>
      </c>
      <c r="J41" s="40">
        <f>SUM(I40:I41)</f>
        <v>0</v>
      </c>
      <c r="L41" s="85">
        <v>49110</v>
      </c>
      <c r="M41" s="40"/>
      <c r="N41" s="40"/>
      <c r="O41" s="40"/>
      <c r="P41" s="40"/>
      <c r="Q41" s="40">
        <v>0</v>
      </c>
      <c r="S41" s="85">
        <v>49110</v>
      </c>
      <c r="T41" s="40"/>
      <c r="U41" s="40"/>
      <c r="V41" s="40"/>
      <c r="W41" s="40"/>
      <c r="X41" s="40">
        <v>0</v>
      </c>
      <c r="Z41" s="85">
        <v>49110</v>
      </c>
      <c r="AA41" s="40"/>
      <c r="AB41" s="40"/>
      <c r="AC41" s="40"/>
      <c r="AD41" s="40"/>
      <c r="AE41" s="40">
        <v>0</v>
      </c>
      <c r="AG41" s="85">
        <v>49110</v>
      </c>
      <c r="AH41" s="40"/>
      <c r="AI41" s="40"/>
      <c r="AJ41" s="40"/>
      <c r="AK41" s="40">
        <v>0</v>
      </c>
      <c r="AM41" s="85">
        <v>49110</v>
      </c>
      <c r="AN41" s="40"/>
      <c r="AO41" s="87">
        <v>0</v>
      </c>
      <c r="AP41" s="40"/>
      <c r="AQ41" s="40">
        <v>0</v>
      </c>
      <c r="AS41" s="85">
        <v>49110</v>
      </c>
      <c r="AT41" s="40"/>
      <c r="AU41" s="87"/>
      <c r="AV41" s="40"/>
      <c r="AW41" s="40"/>
      <c r="AX41" s="40">
        <f t="shared" si="5"/>
        <v>0</v>
      </c>
      <c r="AY41" s="67"/>
      <c r="AZ41" s="85">
        <v>49110</v>
      </c>
      <c r="BB41" s="40"/>
      <c r="BC41" s="87"/>
      <c r="BE41" s="40">
        <v>0</v>
      </c>
      <c r="BF41" s="67"/>
      <c r="BG41" s="85">
        <v>49110</v>
      </c>
      <c r="BH41" s="40"/>
      <c r="BI41" s="87"/>
      <c r="BJ41" s="40"/>
      <c r="BK41" s="40"/>
      <c r="BL41" s="40">
        <v>0</v>
      </c>
      <c r="BM41" s="67"/>
      <c r="BN41" s="85">
        <v>49110</v>
      </c>
      <c r="BO41" s="40"/>
      <c r="BP41" s="87"/>
      <c r="BQ41" s="40">
        <f t="shared" si="6"/>
        <v>0</v>
      </c>
      <c r="BR41" s="40">
        <f t="shared" si="7"/>
        <v>0</v>
      </c>
      <c r="BS41" s="67"/>
      <c r="BT41" s="85">
        <v>49110</v>
      </c>
      <c r="BU41" s="40"/>
      <c r="BV41" s="40"/>
      <c r="BW41" s="40"/>
      <c r="BX41" s="40"/>
      <c r="BY41" s="40">
        <f t="shared" si="8"/>
        <v>0</v>
      </c>
      <c r="BZ41" s="40"/>
      <c r="CA41" s="85">
        <v>49110</v>
      </c>
      <c r="CF41" s="40">
        <f t="shared" si="9"/>
        <v>0</v>
      </c>
      <c r="CG41" s="85"/>
      <c r="CH41" s="85">
        <v>49110</v>
      </c>
      <c r="CN41" s="85">
        <v>49110</v>
      </c>
      <c r="CR41" s="40">
        <v>0</v>
      </c>
      <c r="CT41" s="85">
        <v>49110</v>
      </c>
      <c r="CX41" s="40">
        <v>0</v>
      </c>
      <c r="CZ41" s="85">
        <v>49110</v>
      </c>
      <c r="DE41" s="40">
        <f t="shared" si="10"/>
        <v>0</v>
      </c>
      <c r="DG41" s="85">
        <v>49110</v>
      </c>
      <c r="DL41" s="40">
        <f t="shared" si="11"/>
        <v>0</v>
      </c>
      <c r="DN41" s="85">
        <v>49110</v>
      </c>
      <c r="DS41" s="40">
        <f t="shared" si="12"/>
        <v>0</v>
      </c>
      <c r="DU41" s="85">
        <v>49110</v>
      </c>
      <c r="DZ41" s="40">
        <f t="shared" si="13"/>
        <v>0</v>
      </c>
    </row>
    <row r="42" spans="2:130" x14ac:dyDescent="0.4">
      <c r="B42" s="85">
        <v>49309</v>
      </c>
      <c r="C42" s="85"/>
      <c r="D42" s="85">
        <v>49293</v>
      </c>
      <c r="E42" s="40">
        <f t="shared" si="0"/>
        <v>0</v>
      </c>
      <c r="F42" s="40">
        <f t="shared" si="1"/>
        <v>0</v>
      </c>
      <c r="G42" s="40">
        <f t="shared" si="2"/>
        <v>0</v>
      </c>
      <c r="H42" s="39">
        <v>0</v>
      </c>
      <c r="I42" s="40">
        <f t="shared" si="3"/>
        <v>0</v>
      </c>
      <c r="J42" s="40"/>
      <c r="L42" s="85">
        <v>49293</v>
      </c>
      <c r="M42" s="40"/>
      <c r="N42" s="40"/>
      <c r="O42" s="40"/>
      <c r="P42" s="40"/>
      <c r="Q42" s="40">
        <v>0</v>
      </c>
      <c r="S42" s="85">
        <v>49293</v>
      </c>
      <c r="T42" s="40"/>
      <c r="U42" s="40"/>
      <c r="V42" s="40"/>
      <c r="W42" s="40"/>
      <c r="X42" s="40">
        <v>0</v>
      </c>
      <c r="Z42" s="85">
        <v>49293</v>
      </c>
      <c r="AA42" s="40"/>
      <c r="AB42" s="40"/>
      <c r="AC42" s="40"/>
      <c r="AD42" s="40"/>
      <c r="AE42" s="40">
        <v>0</v>
      </c>
      <c r="AG42" s="85">
        <v>49293</v>
      </c>
      <c r="AH42" s="40"/>
      <c r="AI42" s="40"/>
      <c r="AJ42" s="40"/>
      <c r="AK42" s="40">
        <v>0</v>
      </c>
      <c r="AM42" s="85">
        <v>49293</v>
      </c>
      <c r="AN42" s="40"/>
      <c r="AO42" s="87">
        <v>0</v>
      </c>
      <c r="AP42" s="40"/>
      <c r="AQ42" s="40">
        <v>0</v>
      </c>
      <c r="AS42" s="85">
        <v>49293</v>
      </c>
      <c r="AT42" s="40"/>
      <c r="AU42" s="87"/>
      <c r="AV42" s="40"/>
      <c r="AW42" s="40"/>
      <c r="AX42" s="40">
        <f t="shared" si="5"/>
        <v>0</v>
      </c>
      <c r="AY42" s="67"/>
      <c r="AZ42" s="85">
        <v>49293</v>
      </c>
      <c r="BB42" s="40"/>
      <c r="BC42" s="87"/>
      <c r="BE42" s="40">
        <v>0</v>
      </c>
      <c r="BF42" s="67"/>
      <c r="BG42" s="85">
        <v>49293</v>
      </c>
      <c r="BH42" s="40"/>
      <c r="BI42" s="87"/>
      <c r="BJ42" s="40"/>
      <c r="BK42" s="40"/>
      <c r="BL42" s="40">
        <v>0</v>
      </c>
      <c r="BM42" s="67"/>
      <c r="BN42" s="85">
        <v>49293</v>
      </c>
      <c r="BO42" s="40"/>
      <c r="BP42" s="87"/>
      <c r="BQ42" s="40">
        <f t="shared" si="6"/>
        <v>0</v>
      </c>
      <c r="BR42" s="40">
        <f t="shared" si="7"/>
        <v>0</v>
      </c>
      <c r="BS42" s="67"/>
      <c r="BT42" s="85">
        <v>49293</v>
      </c>
      <c r="BU42" s="40"/>
      <c r="BV42" s="40"/>
      <c r="BW42" s="40"/>
      <c r="BX42" s="40"/>
      <c r="BY42" s="40">
        <f t="shared" si="8"/>
        <v>0</v>
      </c>
      <c r="BZ42" s="40"/>
      <c r="CA42" s="85">
        <v>49293</v>
      </c>
      <c r="CF42" s="40">
        <f t="shared" si="9"/>
        <v>0</v>
      </c>
      <c r="CG42" s="85"/>
      <c r="CH42" s="85">
        <v>49293</v>
      </c>
      <c r="CN42" s="85">
        <v>49293</v>
      </c>
      <c r="CR42" s="40">
        <v>0</v>
      </c>
      <c r="CT42" s="85">
        <v>49293</v>
      </c>
      <c r="CX42" s="40">
        <v>0</v>
      </c>
      <c r="CZ42" s="85">
        <v>49293</v>
      </c>
      <c r="DE42" s="40">
        <f t="shared" si="10"/>
        <v>0</v>
      </c>
      <c r="DG42" s="85">
        <v>49293</v>
      </c>
      <c r="DL42" s="40">
        <f t="shared" si="11"/>
        <v>0</v>
      </c>
      <c r="DN42" s="85">
        <v>49293</v>
      </c>
      <c r="DS42" s="40">
        <f t="shared" si="12"/>
        <v>0</v>
      </c>
      <c r="DU42" s="85">
        <v>49293</v>
      </c>
      <c r="DZ42" s="40">
        <f t="shared" si="13"/>
        <v>0</v>
      </c>
    </row>
    <row r="43" spans="2:130" x14ac:dyDescent="0.4">
      <c r="B43" s="85">
        <v>49490</v>
      </c>
      <c r="C43" s="85"/>
      <c r="D43" s="85">
        <v>49475</v>
      </c>
      <c r="E43" s="40">
        <f t="shared" si="0"/>
        <v>0</v>
      </c>
      <c r="F43" s="40">
        <f t="shared" si="1"/>
        <v>0</v>
      </c>
      <c r="G43" s="40">
        <f t="shared" si="2"/>
        <v>0</v>
      </c>
      <c r="H43" s="39">
        <v>0</v>
      </c>
      <c r="I43" s="40">
        <f t="shared" si="3"/>
        <v>0</v>
      </c>
      <c r="J43" s="40">
        <f>SUM(I42:I43)</f>
        <v>0</v>
      </c>
      <c r="L43" s="85">
        <v>49475</v>
      </c>
      <c r="M43" s="40"/>
      <c r="N43" s="40"/>
      <c r="O43" s="40"/>
      <c r="P43" s="40"/>
      <c r="Q43" s="40">
        <v>0</v>
      </c>
      <c r="S43" s="85">
        <v>49475</v>
      </c>
      <c r="T43" s="40"/>
      <c r="U43" s="40"/>
      <c r="V43" s="40"/>
      <c r="W43" s="40"/>
      <c r="X43" s="40">
        <v>0</v>
      </c>
      <c r="Z43" s="85">
        <v>49475</v>
      </c>
      <c r="AA43" s="40"/>
      <c r="AB43" s="40"/>
      <c r="AC43" s="40"/>
      <c r="AD43" s="40"/>
      <c r="AE43" s="40">
        <v>0</v>
      </c>
      <c r="AG43" s="85">
        <v>49475</v>
      </c>
      <c r="AH43" s="40"/>
      <c r="AI43" s="40"/>
      <c r="AJ43" s="40"/>
      <c r="AK43" s="40">
        <v>0</v>
      </c>
      <c r="AM43" s="85">
        <v>49475</v>
      </c>
      <c r="AN43" s="40"/>
      <c r="AO43" s="87">
        <v>0</v>
      </c>
      <c r="AP43" s="40"/>
      <c r="AQ43" s="40">
        <v>0</v>
      </c>
      <c r="AS43" s="85">
        <v>49475</v>
      </c>
      <c r="AT43" s="40"/>
      <c r="AU43" s="87"/>
      <c r="AV43" s="40"/>
      <c r="AW43" s="40"/>
      <c r="AX43" s="40">
        <f t="shared" si="5"/>
        <v>0</v>
      </c>
      <c r="AY43" s="67"/>
      <c r="AZ43" s="85">
        <v>49475</v>
      </c>
      <c r="BB43" s="40"/>
      <c r="BC43" s="87"/>
      <c r="BE43" s="40">
        <v>0</v>
      </c>
      <c r="BF43" s="67"/>
      <c r="BG43" s="85">
        <v>49475</v>
      </c>
      <c r="BH43" s="40"/>
      <c r="BI43" s="87"/>
      <c r="BJ43" s="40"/>
      <c r="BK43" s="40"/>
      <c r="BL43" s="40">
        <v>0</v>
      </c>
      <c r="BM43" s="67"/>
      <c r="BN43" s="85">
        <v>49475</v>
      </c>
      <c r="BO43" s="40"/>
      <c r="BP43" s="87"/>
      <c r="BQ43" s="40">
        <f t="shared" si="6"/>
        <v>0</v>
      </c>
      <c r="BR43" s="40">
        <f t="shared" si="7"/>
        <v>0</v>
      </c>
      <c r="BS43" s="67"/>
      <c r="BT43" s="85">
        <v>49475</v>
      </c>
      <c r="BU43" s="40"/>
      <c r="BV43" s="40"/>
      <c r="BW43" s="40"/>
      <c r="BX43" s="40"/>
      <c r="BY43" s="40">
        <f t="shared" si="8"/>
        <v>0</v>
      </c>
      <c r="BZ43" s="40"/>
      <c r="CA43" s="85">
        <v>49475</v>
      </c>
      <c r="CF43" s="40">
        <f t="shared" si="9"/>
        <v>0</v>
      </c>
      <c r="CG43" s="85"/>
      <c r="CH43" s="85">
        <v>49475</v>
      </c>
      <c r="CN43" s="85">
        <v>49475</v>
      </c>
      <c r="CR43" s="40">
        <v>0</v>
      </c>
      <c r="CT43" s="85">
        <v>49475</v>
      </c>
      <c r="CX43" s="40">
        <v>0</v>
      </c>
      <c r="CZ43" s="85">
        <v>49475</v>
      </c>
      <c r="DE43" s="40">
        <f t="shared" si="10"/>
        <v>0</v>
      </c>
      <c r="DG43" s="85">
        <v>49475</v>
      </c>
      <c r="DL43" s="40">
        <f t="shared" si="11"/>
        <v>0</v>
      </c>
      <c r="DN43" s="85">
        <v>49475</v>
      </c>
      <c r="DS43" s="40">
        <f t="shared" si="12"/>
        <v>0</v>
      </c>
      <c r="DU43" s="85">
        <v>49475</v>
      </c>
      <c r="DZ43" s="40">
        <f t="shared" si="13"/>
        <v>0</v>
      </c>
    </row>
    <row r="44" spans="2:130" x14ac:dyDescent="0.4">
      <c r="B44" s="85">
        <v>49674</v>
      </c>
      <c r="C44" s="85"/>
      <c r="D44" s="85">
        <v>49658</v>
      </c>
      <c r="E44" s="40">
        <f t="shared" si="0"/>
        <v>0</v>
      </c>
      <c r="F44" s="40">
        <f t="shared" si="1"/>
        <v>0</v>
      </c>
      <c r="G44" s="40">
        <f t="shared" si="2"/>
        <v>0</v>
      </c>
      <c r="H44" s="39">
        <v>0</v>
      </c>
      <c r="I44" s="40">
        <f t="shared" si="3"/>
        <v>0</v>
      </c>
      <c r="J44" s="40"/>
      <c r="L44" s="85">
        <v>49658</v>
      </c>
      <c r="M44" s="40"/>
      <c r="N44" s="40"/>
      <c r="O44" s="40"/>
      <c r="P44" s="40"/>
      <c r="Q44" s="40">
        <v>0</v>
      </c>
      <c r="S44" s="85">
        <v>49658</v>
      </c>
      <c r="T44" s="40"/>
      <c r="U44" s="40"/>
      <c r="V44" s="40"/>
      <c r="W44" s="40"/>
      <c r="X44" s="40">
        <v>0</v>
      </c>
      <c r="Z44" s="85">
        <v>49658</v>
      </c>
      <c r="AA44" s="40"/>
      <c r="AB44" s="40"/>
      <c r="AC44" s="40"/>
      <c r="AD44" s="40"/>
      <c r="AE44" s="40">
        <v>0</v>
      </c>
      <c r="AG44" s="85">
        <v>49658</v>
      </c>
      <c r="AH44" s="40"/>
      <c r="AI44" s="40"/>
      <c r="AJ44" s="40"/>
      <c r="AK44" s="40">
        <v>0</v>
      </c>
      <c r="AM44" s="85">
        <v>49658</v>
      </c>
      <c r="AN44" s="40"/>
      <c r="AO44" s="87">
        <v>0</v>
      </c>
      <c r="AP44" s="40"/>
      <c r="AQ44" s="40">
        <v>0</v>
      </c>
      <c r="AS44" s="85">
        <v>49658</v>
      </c>
      <c r="AT44" s="40"/>
      <c r="AU44" s="87"/>
      <c r="AV44" s="40"/>
      <c r="AW44" s="40"/>
      <c r="AX44" s="40">
        <f t="shared" si="5"/>
        <v>0</v>
      </c>
      <c r="AY44" s="67"/>
      <c r="AZ44" s="85">
        <v>49658</v>
      </c>
      <c r="BB44" s="40"/>
      <c r="BC44" s="87"/>
      <c r="BE44" s="40">
        <v>0</v>
      </c>
      <c r="BF44" s="67"/>
      <c r="BG44" s="85">
        <v>49658</v>
      </c>
      <c r="BH44" s="40"/>
      <c r="BI44" s="87"/>
      <c r="BJ44" s="40"/>
      <c r="BK44" s="40"/>
      <c r="BL44" s="40">
        <v>0</v>
      </c>
      <c r="BM44" s="67"/>
      <c r="BN44" s="85">
        <v>49658</v>
      </c>
      <c r="BO44" s="40"/>
      <c r="BP44" s="87"/>
      <c r="BQ44" s="40">
        <f t="shared" si="6"/>
        <v>0</v>
      </c>
      <c r="BR44" s="40">
        <f t="shared" si="7"/>
        <v>0</v>
      </c>
      <c r="BS44" s="67"/>
      <c r="BT44" s="85">
        <v>49658</v>
      </c>
      <c r="BU44" s="40"/>
      <c r="BV44" s="40"/>
      <c r="BW44" s="40"/>
      <c r="BX44" s="40"/>
      <c r="BY44" s="40">
        <f t="shared" si="8"/>
        <v>0</v>
      </c>
      <c r="BZ44" s="40"/>
      <c r="CA44" s="85">
        <v>49658</v>
      </c>
      <c r="CF44" s="40">
        <f t="shared" si="9"/>
        <v>0</v>
      </c>
      <c r="CG44" s="85"/>
      <c r="CH44" s="85">
        <v>49658</v>
      </c>
      <c r="CN44" s="85">
        <v>49658</v>
      </c>
      <c r="CR44" s="40">
        <v>0</v>
      </c>
      <c r="CT44" s="85">
        <v>49658</v>
      </c>
      <c r="CX44" s="40">
        <v>0</v>
      </c>
      <c r="CZ44" s="85">
        <v>49658</v>
      </c>
      <c r="DE44" s="40">
        <f t="shared" si="10"/>
        <v>0</v>
      </c>
      <c r="DG44" s="85">
        <v>49658</v>
      </c>
      <c r="DL44" s="40">
        <f t="shared" si="11"/>
        <v>0</v>
      </c>
      <c r="DN44" s="85">
        <v>49658</v>
      </c>
      <c r="DS44" s="40">
        <f t="shared" si="12"/>
        <v>0</v>
      </c>
      <c r="DU44" s="85">
        <v>49658</v>
      </c>
      <c r="DZ44" s="40">
        <f t="shared" si="13"/>
        <v>0</v>
      </c>
    </row>
    <row r="45" spans="2:130" x14ac:dyDescent="0.4">
      <c r="B45" s="85">
        <v>49856</v>
      </c>
      <c r="C45" s="85"/>
      <c r="D45" s="85">
        <v>49841</v>
      </c>
      <c r="E45" s="40">
        <f t="shared" si="0"/>
        <v>0</v>
      </c>
      <c r="F45" s="40">
        <f t="shared" si="1"/>
        <v>0</v>
      </c>
      <c r="G45" s="40">
        <f t="shared" si="2"/>
        <v>0</v>
      </c>
      <c r="H45" s="39">
        <v>0</v>
      </c>
      <c r="I45" s="40">
        <f t="shared" si="3"/>
        <v>0</v>
      </c>
      <c r="J45" s="40">
        <f>SUM(I44:I45)</f>
        <v>0</v>
      </c>
      <c r="L45" s="85">
        <v>49841</v>
      </c>
      <c r="M45" s="40"/>
      <c r="N45" s="40"/>
      <c r="O45" s="40"/>
      <c r="P45" s="40"/>
      <c r="Q45" s="40">
        <v>0</v>
      </c>
      <c r="S45" s="85">
        <v>49841</v>
      </c>
      <c r="T45" s="40"/>
      <c r="U45" s="40"/>
      <c r="V45" s="40"/>
      <c r="W45" s="40"/>
      <c r="X45" s="40">
        <v>0</v>
      </c>
      <c r="Z45" s="85">
        <v>49841</v>
      </c>
      <c r="AA45" s="40"/>
      <c r="AB45" s="40"/>
      <c r="AC45" s="40"/>
      <c r="AD45" s="40"/>
      <c r="AE45" s="40">
        <v>0</v>
      </c>
      <c r="AG45" s="85">
        <v>49841</v>
      </c>
      <c r="AH45" s="40"/>
      <c r="AI45" s="40"/>
      <c r="AJ45" s="40"/>
      <c r="AK45" s="40">
        <v>0</v>
      </c>
      <c r="AM45" s="85">
        <v>49841</v>
      </c>
      <c r="AN45" s="40"/>
      <c r="AO45" s="87">
        <v>0</v>
      </c>
      <c r="AP45" s="40"/>
      <c r="AQ45" s="40">
        <v>0</v>
      </c>
      <c r="AS45" s="85">
        <v>49841</v>
      </c>
      <c r="AT45" s="40"/>
      <c r="AU45" s="87"/>
      <c r="AV45" s="40"/>
      <c r="AW45" s="40"/>
      <c r="AX45" s="40">
        <f t="shared" si="5"/>
        <v>0</v>
      </c>
      <c r="AY45" s="67"/>
      <c r="AZ45" s="85">
        <v>49841</v>
      </c>
      <c r="BB45" s="40"/>
      <c r="BC45" s="87"/>
      <c r="BE45" s="40">
        <v>0</v>
      </c>
      <c r="BF45" s="67"/>
      <c r="BG45" s="85">
        <v>49841</v>
      </c>
      <c r="BH45" s="40"/>
      <c r="BI45" s="87"/>
      <c r="BJ45" s="40"/>
      <c r="BK45" s="40"/>
      <c r="BL45" s="40">
        <v>0</v>
      </c>
      <c r="BM45" s="67"/>
      <c r="BN45" s="85">
        <v>49841</v>
      </c>
      <c r="BO45" s="40"/>
      <c r="BP45" s="87"/>
      <c r="BQ45" s="40">
        <f t="shared" si="6"/>
        <v>0</v>
      </c>
      <c r="BR45" s="40">
        <f t="shared" si="7"/>
        <v>0</v>
      </c>
      <c r="BS45" s="67"/>
      <c r="BT45" s="85">
        <v>49841</v>
      </c>
      <c r="BU45" s="40"/>
      <c r="BV45" s="40"/>
      <c r="BW45" s="40"/>
      <c r="BX45" s="40"/>
      <c r="BY45" s="40">
        <f t="shared" si="8"/>
        <v>0</v>
      </c>
      <c r="BZ45" s="40"/>
      <c r="CA45" s="85">
        <v>49841</v>
      </c>
      <c r="CF45" s="40">
        <f t="shared" si="9"/>
        <v>0</v>
      </c>
      <c r="CG45" s="85"/>
      <c r="CH45" s="85">
        <v>49841</v>
      </c>
      <c r="CN45" s="85">
        <v>49841</v>
      </c>
      <c r="CR45" s="40">
        <v>0</v>
      </c>
      <c r="CT45" s="85">
        <v>49841</v>
      </c>
      <c r="CX45" s="40">
        <v>0</v>
      </c>
      <c r="CZ45" s="85">
        <v>49841</v>
      </c>
      <c r="DE45" s="40">
        <f t="shared" si="10"/>
        <v>0</v>
      </c>
      <c r="DG45" s="85">
        <v>49841</v>
      </c>
      <c r="DL45" s="40">
        <f t="shared" si="11"/>
        <v>0</v>
      </c>
      <c r="DN45" s="85">
        <v>49841</v>
      </c>
      <c r="DS45" s="40">
        <f t="shared" si="12"/>
        <v>0</v>
      </c>
      <c r="DU45" s="85">
        <v>49841</v>
      </c>
      <c r="DZ45" s="40">
        <f t="shared" si="13"/>
        <v>0</v>
      </c>
    </row>
    <row r="46" spans="2:130" x14ac:dyDescent="0.4">
      <c r="B46" s="85">
        <v>50040</v>
      </c>
      <c r="C46" s="85"/>
      <c r="D46" s="85">
        <v>50024</v>
      </c>
      <c r="E46" s="40">
        <f t="shared" si="0"/>
        <v>0</v>
      </c>
      <c r="F46" s="40">
        <f t="shared" si="1"/>
        <v>0</v>
      </c>
      <c r="G46" s="40">
        <f t="shared" si="2"/>
        <v>0</v>
      </c>
      <c r="H46" s="39">
        <v>0</v>
      </c>
      <c r="I46" s="40">
        <f t="shared" si="3"/>
        <v>0</v>
      </c>
      <c r="J46" s="40"/>
      <c r="L46" s="85">
        <v>50024</v>
      </c>
      <c r="M46" s="40"/>
      <c r="N46" s="40"/>
      <c r="O46" s="40"/>
      <c r="P46" s="40"/>
      <c r="Q46" s="40">
        <v>0</v>
      </c>
      <c r="S46" s="85">
        <v>50024</v>
      </c>
      <c r="T46" s="40"/>
      <c r="U46" s="40"/>
      <c r="V46" s="40"/>
      <c r="W46" s="40"/>
      <c r="X46" s="40">
        <v>0</v>
      </c>
      <c r="Z46" s="85">
        <v>50024</v>
      </c>
      <c r="AA46" s="40"/>
      <c r="AB46" s="40"/>
      <c r="AC46" s="40"/>
      <c r="AD46" s="40"/>
      <c r="AE46" s="40">
        <v>0</v>
      </c>
      <c r="AG46" s="85">
        <v>50024</v>
      </c>
      <c r="AH46" s="40"/>
      <c r="AI46" s="40"/>
      <c r="AJ46" s="40"/>
      <c r="AK46" s="40">
        <v>0</v>
      </c>
      <c r="AM46" s="85">
        <v>50024</v>
      </c>
      <c r="AN46" s="40"/>
      <c r="AO46" s="87">
        <v>0</v>
      </c>
      <c r="AP46" s="40"/>
      <c r="AQ46" s="40">
        <v>0</v>
      </c>
      <c r="AS46" s="85">
        <v>50024</v>
      </c>
      <c r="AT46" s="40"/>
      <c r="AU46" s="87"/>
      <c r="AV46" s="40"/>
      <c r="AW46" s="40"/>
      <c r="AX46" s="40">
        <f t="shared" si="5"/>
        <v>0</v>
      </c>
      <c r="AY46" s="67"/>
      <c r="AZ46" s="85">
        <v>50024</v>
      </c>
      <c r="BB46" s="40"/>
      <c r="BC46" s="87"/>
      <c r="BE46" s="40">
        <v>0</v>
      </c>
      <c r="BF46" s="67"/>
      <c r="BG46" s="85">
        <v>50024</v>
      </c>
      <c r="BH46" s="40"/>
      <c r="BI46" s="87"/>
      <c r="BJ46" s="40"/>
      <c r="BK46" s="40"/>
      <c r="BL46" s="40">
        <v>0</v>
      </c>
      <c r="BM46" s="67"/>
      <c r="BN46" s="85">
        <v>50024</v>
      </c>
      <c r="BO46" s="40"/>
      <c r="BP46" s="87"/>
      <c r="BQ46" s="40">
        <f t="shared" si="6"/>
        <v>0</v>
      </c>
      <c r="BR46" s="40">
        <f t="shared" si="7"/>
        <v>0</v>
      </c>
      <c r="BS46" s="67"/>
      <c r="BT46" s="85">
        <v>50024</v>
      </c>
      <c r="BU46" s="40"/>
      <c r="BV46" s="40"/>
      <c r="BW46" s="40"/>
      <c r="BX46" s="40"/>
      <c r="BY46" s="40">
        <f t="shared" si="8"/>
        <v>0</v>
      </c>
      <c r="BZ46" s="40"/>
      <c r="CA46" s="85">
        <v>50024</v>
      </c>
      <c r="CF46" s="40">
        <f t="shared" si="9"/>
        <v>0</v>
      </c>
      <c r="CG46" s="85"/>
      <c r="CH46" s="85">
        <v>50024</v>
      </c>
      <c r="CN46" s="85">
        <v>50024</v>
      </c>
      <c r="CR46" s="40">
        <v>0</v>
      </c>
      <c r="CT46" s="85">
        <v>50024</v>
      </c>
      <c r="CX46" s="40">
        <v>0</v>
      </c>
      <c r="CZ46" s="85">
        <v>50024</v>
      </c>
      <c r="DE46" s="40">
        <f t="shared" si="10"/>
        <v>0</v>
      </c>
      <c r="DG46" s="85">
        <v>50024</v>
      </c>
      <c r="DL46" s="40">
        <f t="shared" si="11"/>
        <v>0</v>
      </c>
      <c r="DN46" s="85">
        <v>50024</v>
      </c>
      <c r="DS46" s="40">
        <f t="shared" si="12"/>
        <v>0</v>
      </c>
      <c r="DU46" s="85">
        <v>50024</v>
      </c>
      <c r="DZ46" s="40">
        <f t="shared" si="13"/>
        <v>0</v>
      </c>
    </row>
    <row r="47" spans="2:130" x14ac:dyDescent="0.4">
      <c r="B47" s="85">
        <v>50221</v>
      </c>
      <c r="C47" s="85"/>
      <c r="D47" s="85">
        <v>50206</v>
      </c>
      <c r="E47" s="40">
        <f t="shared" si="0"/>
        <v>0</v>
      </c>
      <c r="F47" s="40">
        <f t="shared" si="1"/>
        <v>0</v>
      </c>
      <c r="G47" s="40">
        <f t="shared" si="2"/>
        <v>0</v>
      </c>
      <c r="H47" s="39">
        <v>0</v>
      </c>
      <c r="I47" s="40">
        <f t="shared" si="3"/>
        <v>0</v>
      </c>
      <c r="J47" s="40">
        <f>SUM(I46:I47)</f>
        <v>0</v>
      </c>
      <c r="L47" s="85">
        <v>50206</v>
      </c>
      <c r="M47" s="40"/>
      <c r="N47" s="40"/>
      <c r="O47" s="40"/>
      <c r="P47" s="40"/>
      <c r="Q47" s="40">
        <v>0</v>
      </c>
      <c r="S47" s="85">
        <v>50206</v>
      </c>
      <c r="T47" s="40"/>
      <c r="U47" s="40"/>
      <c r="V47" s="40"/>
      <c r="W47" s="40"/>
      <c r="X47" s="40">
        <v>0</v>
      </c>
      <c r="Z47" s="85">
        <v>50206</v>
      </c>
      <c r="AA47" s="40"/>
      <c r="AB47" s="40"/>
      <c r="AC47" s="40"/>
      <c r="AD47" s="40"/>
      <c r="AE47" s="40">
        <v>0</v>
      </c>
      <c r="AG47" s="85">
        <v>50206</v>
      </c>
      <c r="AH47" s="40"/>
      <c r="AI47" s="40"/>
      <c r="AJ47" s="40"/>
      <c r="AK47" s="40">
        <v>0</v>
      </c>
      <c r="AM47" s="85">
        <v>50206</v>
      </c>
      <c r="AN47" s="40"/>
      <c r="AO47" s="87">
        <v>0</v>
      </c>
      <c r="AP47" s="40"/>
      <c r="AQ47" s="40">
        <v>0</v>
      </c>
      <c r="AS47" s="85">
        <v>50206</v>
      </c>
      <c r="AT47" s="40"/>
      <c r="AU47" s="87"/>
      <c r="AV47" s="40"/>
      <c r="AW47" s="40"/>
      <c r="AX47" s="40">
        <f t="shared" si="5"/>
        <v>0</v>
      </c>
      <c r="AY47" s="67"/>
      <c r="AZ47" s="85">
        <v>50206</v>
      </c>
      <c r="BB47" s="40"/>
      <c r="BC47" s="87"/>
      <c r="BE47" s="40">
        <v>0</v>
      </c>
      <c r="BF47" s="67"/>
      <c r="BG47" s="85">
        <v>50206</v>
      </c>
      <c r="BH47" s="40"/>
      <c r="BI47" s="87"/>
      <c r="BJ47" s="40"/>
      <c r="BK47" s="40"/>
      <c r="BL47" s="40">
        <v>0</v>
      </c>
      <c r="BM47" s="67"/>
      <c r="BN47" s="85">
        <v>50206</v>
      </c>
      <c r="BO47" s="40"/>
      <c r="BP47" s="87"/>
      <c r="BQ47" s="40">
        <f t="shared" si="6"/>
        <v>0</v>
      </c>
      <c r="BR47" s="40">
        <f t="shared" si="7"/>
        <v>0</v>
      </c>
      <c r="BS47" s="67"/>
      <c r="BT47" s="85">
        <v>50206</v>
      </c>
      <c r="BU47" s="40"/>
      <c r="BV47" s="40"/>
      <c r="BW47" s="40"/>
      <c r="BX47" s="40"/>
      <c r="BY47" s="40">
        <f t="shared" si="8"/>
        <v>0</v>
      </c>
      <c r="BZ47" s="40"/>
      <c r="CA47" s="85">
        <v>50206</v>
      </c>
      <c r="CF47" s="40">
        <f t="shared" si="9"/>
        <v>0</v>
      </c>
      <c r="CG47" s="85"/>
      <c r="CH47" s="85">
        <v>50206</v>
      </c>
      <c r="CN47" s="85">
        <v>50206</v>
      </c>
      <c r="CR47" s="40">
        <v>0</v>
      </c>
      <c r="CT47" s="85">
        <v>50206</v>
      </c>
      <c r="CX47" s="40">
        <v>0</v>
      </c>
      <c r="CZ47" s="85">
        <v>50206</v>
      </c>
      <c r="DE47" s="40">
        <f t="shared" si="10"/>
        <v>0</v>
      </c>
      <c r="DG47" s="85">
        <v>50206</v>
      </c>
      <c r="DL47" s="40">
        <f t="shared" si="11"/>
        <v>0</v>
      </c>
      <c r="DN47" s="85">
        <v>50206</v>
      </c>
      <c r="DS47" s="40">
        <f t="shared" si="12"/>
        <v>0</v>
      </c>
      <c r="DU47" s="85">
        <v>50206</v>
      </c>
      <c r="DZ47" s="40">
        <f t="shared" si="13"/>
        <v>0</v>
      </c>
    </row>
    <row r="48" spans="2:130" x14ac:dyDescent="0.4">
      <c r="B48" s="85">
        <v>50405</v>
      </c>
      <c r="C48" s="85"/>
      <c r="D48" s="85">
        <v>50389</v>
      </c>
      <c r="E48" s="40">
        <f t="shared" si="0"/>
        <v>0</v>
      </c>
      <c r="F48" s="40">
        <f t="shared" si="1"/>
        <v>0</v>
      </c>
      <c r="G48" s="40">
        <f t="shared" si="2"/>
        <v>0</v>
      </c>
      <c r="H48" s="39">
        <v>0</v>
      </c>
      <c r="I48" s="40">
        <f t="shared" si="3"/>
        <v>0</v>
      </c>
      <c r="J48" s="40"/>
      <c r="L48" s="85">
        <v>50389</v>
      </c>
      <c r="M48" s="40"/>
      <c r="N48" s="40"/>
      <c r="O48" s="40"/>
      <c r="P48" s="40"/>
      <c r="Q48" s="40">
        <v>0</v>
      </c>
      <c r="S48" s="85">
        <v>50389</v>
      </c>
      <c r="T48" s="40"/>
      <c r="U48" s="40"/>
      <c r="V48" s="40"/>
      <c r="W48" s="40"/>
      <c r="X48" s="40">
        <v>0</v>
      </c>
      <c r="Z48" s="85">
        <v>50389</v>
      </c>
      <c r="AA48" s="40"/>
      <c r="AB48" s="40"/>
      <c r="AC48" s="40"/>
      <c r="AD48" s="40"/>
      <c r="AE48" s="40">
        <v>0</v>
      </c>
      <c r="AG48" s="85">
        <v>50389</v>
      </c>
      <c r="AH48" s="40"/>
      <c r="AI48" s="40"/>
      <c r="AJ48" s="40"/>
      <c r="AK48" s="40">
        <v>0</v>
      </c>
      <c r="AM48" s="85">
        <v>50389</v>
      </c>
      <c r="AN48" s="40"/>
      <c r="AO48" s="87">
        <v>0</v>
      </c>
      <c r="AP48" s="40"/>
      <c r="AQ48" s="40">
        <v>0</v>
      </c>
      <c r="AS48" s="85">
        <v>50389</v>
      </c>
      <c r="AT48" s="40"/>
      <c r="AU48" s="87"/>
      <c r="AV48" s="40"/>
      <c r="AW48" s="40"/>
      <c r="AX48" s="40">
        <f t="shared" si="5"/>
        <v>0</v>
      </c>
      <c r="AY48" s="67"/>
      <c r="AZ48" s="85">
        <v>50389</v>
      </c>
      <c r="BB48" s="40"/>
      <c r="BC48" s="87"/>
      <c r="BE48" s="40">
        <v>0</v>
      </c>
      <c r="BF48" s="67"/>
      <c r="BG48" s="85">
        <v>50389</v>
      </c>
      <c r="BH48" s="40"/>
      <c r="BI48" s="87"/>
      <c r="BJ48" s="40"/>
      <c r="BK48" s="40"/>
      <c r="BL48" s="40">
        <v>0</v>
      </c>
      <c r="BM48" s="67"/>
      <c r="BN48" s="85">
        <v>50389</v>
      </c>
      <c r="BO48" s="40"/>
      <c r="BP48" s="87"/>
      <c r="BQ48" s="40">
        <f t="shared" si="6"/>
        <v>0</v>
      </c>
      <c r="BR48" s="40">
        <f t="shared" si="7"/>
        <v>0</v>
      </c>
      <c r="BS48" s="67"/>
      <c r="BT48" s="85">
        <v>50389</v>
      </c>
      <c r="BU48" s="40"/>
      <c r="BV48" s="40"/>
      <c r="BW48" s="40"/>
      <c r="BX48" s="40"/>
      <c r="BY48" s="40">
        <f t="shared" si="8"/>
        <v>0</v>
      </c>
      <c r="BZ48" s="40"/>
      <c r="CA48" s="85">
        <v>50389</v>
      </c>
      <c r="CF48" s="40">
        <f t="shared" si="9"/>
        <v>0</v>
      </c>
      <c r="CG48" s="85"/>
      <c r="CH48" s="85">
        <v>50389</v>
      </c>
      <c r="CN48" s="85">
        <v>50389</v>
      </c>
      <c r="CR48" s="40">
        <v>0</v>
      </c>
      <c r="CT48" s="85">
        <v>50389</v>
      </c>
      <c r="CX48" s="40">
        <v>0</v>
      </c>
      <c r="CZ48" s="85">
        <v>50389</v>
      </c>
      <c r="DE48" s="40">
        <f t="shared" si="10"/>
        <v>0</v>
      </c>
      <c r="DG48" s="85">
        <v>50389</v>
      </c>
      <c r="DL48" s="40">
        <f t="shared" si="11"/>
        <v>0</v>
      </c>
      <c r="DN48" s="85">
        <v>50389</v>
      </c>
      <c r="DS48" s="40">
        <f t="shared" si="12"/>
        <v>0</v>
      </c>
      <c r="DU48" s="85">
        <v>50389</v>
      </c>
      <c r="DZ48" s="40">
        <f t="shared" si="13"/>
        <v>0</v>
      </c>
    </row>
    <row r="49" spans="2:130" x14ac:dyDescent="0.4">
      <c r="B49" s="85">
        <v>50586</v>
      </c>
      <c r="C49" s="85"/>
      <c r="D49" s="85">
        <v>50571</v>
      </c>
      <c r="E49" s="40">
        <f t="shared" si="0"/>
        <v>0</v>
      </c>
      <c r="F49" s="40">
        <f t="shared" si="1"/>
        <v>0</v>
      </c>
      <c r="G49" s="40">
        <f t="shared" si="2"/>
        <v>0</v>
      </c>
      <c r="H49" s="39">
        <v>0</v>
      </c>
      <c r="I49" s="40">
        <f t="shared" si="3"/>
        <v>0</v>
      </c>
      <c r="J49" s="40">
        <f>SUM(I48:I49)</f>
        <v>0</v>
      </c>
      <c r="L49" s="85">
        <v>50571</v>
      </c>
      <c r="M49" s="40"/>
      <c r="N49" s="40"/>
      <c r="O49" s="40"/>
      <c r="P49" s="40"/>
      <c r="Q49" s="40">
        <v>0</v>
      </c>
      <c r="S49" s="85">
        <v>50571</v>
      </c>
      <c r="T49" s="40"/>
      <c r="U49" s="40"/>
      <c r="V49" s="40"/>
      <c r="W49" s="40"/>
      <c r="X49" s="40">
        <v>0</v>
      </c>
      <c r="Z49" s="85">
        <v>50571</v>
      </c>
      <c r="AA49" s="40"/>
      <c r="AB49" s="40"/>
      <c r="AC49" s="40"/>
      <c r="AD49" s="40"/>
      <c r="AE49" s="40">
        <v>0</v>
      </c>
      <c r="AG49" s="85">
        <v>50571</v>
      </c>
      <c r="AH49" s="40"/>
      <c r="AI49" s="40"/>
      <c r="AJ49" s="40"/>
      <c r="AK49" s="40">
        <v>0</v>
      </c>
      <c r="AM49" s="85">
        <v>50571</v>
      </c>
      <c r="AN49" s="40"/>
      <c r="AO49" s="87">
        <v>0</v>
      </c>
      <c r="AP49" s="40"/>
      <c r="AQ49" s="40">
        <v>0</v>
      </c>
      <c r="AS49" s="85">
        <v>50571</v>
      </c>
      <c r="AT49" s="40"/>
      <c r="AU49" s="87"/>
      <c r="AV49" s="40"/>
      <c r="AW49" s="40"/>
      <c r="AX49" s="40">
        <f t="shared" si="5"/>
        <v>0</v>
      </c>
      <c r="AY49" s="67"/>
      <c r="AZ49" s="85">
        <v>50571</v>
      </c>
      <c r="BB49" s="40"/>
      <c r="BC49" s="87"/>
      <c r="BE49" s="40">
        <v>0</v>
      </c>
      <c r="BF49" s="67"/>
      <c r="BG49" s="85">
        <v>50571</v>
      </c>
      <c r="BH49" s="40"/>
      <c r="BI49" s="87"/>
      <c r="BJ49" s="40"/>
      <c r="BK49" s="40"/>
      <c r="BL49" s="40">
        <v>0</v>
      </c>
      <c r="BM49" s="67"/>
      <c r="BN49" s="85">
        <v>50571</v>
      </c>
      <c r="BO49" s="40"/>
      <c r="BP49" s="87"/>
      <c r="BQ49" s="40">
        <f t="shared" si="6"/>
        <v>0</v>
      </c>
      <c r="BR49" s="40">
        <f t="shared" si="7"/>
        <v>0</v>
      </c>
      <c r="BS49" s="67"/>
      <c r="BT49" s="85">
        <v>50571</v>
      </c>
      <c r="BU49" s="40"/>
      <c r="BV49" s="40"/>
      <c r="BW49" s="40"/>
      <c r="BX49" s="40"/>
      <c r="BY49" s="40">
        <f t="shared" si="8"/>
        <v>0</v>
      </c>
      <c r="BZ49" s="40"/>
      <c r="CA49" s="85">
        <v>50571</v>
      </c>
      <c r="CF49" s="40">
        <f t="shared" si="9"/>
        <v>0</v>
      </c>
      <c r="CG49" s="85"/>
      <c r="CH49" s="85">
        <v>50571</v>
      </c>
      <c r="CN49" s="85">
        <v>50571</v>
      </c>
      <c r="CR49" s="40">
        <v>0</v>
      </c>
      <c r="CT49" s="85">
        <v>50571</v>
      </c>
      <c r="CX49" s="40">
        <v>0</v>
      </c>
      <c r="CZ49" s="85">
        <v>50571</v>
      </c>
      <c r="DE49" s="40">
        <f t="shared" si="10"/>
        <v>0</v>
      </c>
      <c r="DG49" s="85">
        <v>50571</v>
      </c>
      <c r="DL49" s="40">
        <f t="shared" si="11"/>
        <v>0</v>
      </c>
      <c r="DN49" s="85">
        <v>50571</v>
      </c>
      <c r="DS49" s="40">
        <f t="shared" si="12"/>
        <v>0</v>
      </c>
      <c r="DU49" s="85">
        <v>50571</v>
      </c>
      <c r="DZ49" s="40">
        <f t="shared" si="13"/>
        <v>0</v>
      </c>
    </row>
    <row r="50" spans="2:130" x14ac:dyDescent="0.4">
      <c r="B50" s="85">
        <v>50770</v>
      </c>
      <c r="C50" s="85"/>
      <c r="D50" s="85">
        <v>50754</v>
      </c>
      <c r="E50" s="40">
        <f t="shared" si="0"/>
        <v>0</v>
      </c>
      <c r="F50" s="40">
        <f t="shared" si="1"/>
        <v>0</v>
      </c>
      <c r="G50" s="40">
        <f t="shared" si="2"/>
        <v>0</v>
      </c>
      <c r="H50" s="39">
        <v>0</v>
      </c>
      <c r="I50" s="40">
        <f t="shared" si="3"/>
        <v>0</v>
      </c>
      <c r="J50" s="40"/>
      <c r="L50" s="85">
        <v>50754</v>
      </c>
      <c r="M50" s="40"/>
      <c r="N50" s="40"/>
      <c r="O50" s="40"/>
      <c r="P50" s="40"/>
      <c r="Q50" s="40">
        <v>0</v>
      </c>
      <c r="S50" s="85">
        <v>50754</v>
      </c>
      <c r="T50" s="40"/>
      <c r="U50" s="40"/>
      <c r="V50" s="40"/>
      <c r="W50" s="40"/>
      <c r="X50" s="40">
        <v>0</v>
      </c>
      <c r="Z50" s="85">
        <v>50754</v>
      </c>
      <c r="AA50" s="40"/>
      <c r="AB50" s="40"/>
      <c r="AC50" s="40"/>
      <c r="AD50" s="40"/>
      <c r="AE50" s="40">
        <v>0</v>
      </c>
      <c r="AG50" s="85">
        <v>50754</v>
      </c>
      <c r="AH50" s="40"/>
      <c r="AI50" s="40"/>
      <c r="AJ50" s="40"/>
      <c r="AK50" s="40">
        <v>0</v>
      </c>
      <c r="AM50" s="85">
        <v>50754</v>
      </c>
      <c r="AN50" s="40"/>
      <c r="AO50" s="87">
        <v>0</v>
      </c>
      <c r="AP50" s="40"/>
      <c r="AQ50" s="40">
        <v>0</v>
      </c>
      <c r="AS50" s="85">
        <v>50754</v>
      </c>
      <c r="AT50" s="40"/>
      <c r="AU50" s="87"/>
      <c r="AV50" s="40"/>
      <c r="AW50" s="40"/>
      <c r="AX50" s="40">
        <f t="shared" si="5"/>
        <v>0</v>
      </c>
      <c r="AY50" s="67"/>
      <c r="AZ50" s="85">
        <v>50754</v>
      </c>
      <c r="BB50" s="40"/>
      <c r="BC50" s="87"/>
      <c r="BE50" s="40">
        <v>0</v>
      </c>
      <c r="BF50" s="67"/>
      <c r="BG50" s="85">
        <v>50754</v>
      </c>
      <c r="BH50" s="40"/>
      <c r="BI50" s="87"/>
      <c r="BJ50" s="40"/>
      <c r="BK50" s="40"/>
      <c r="BL50" s="40">
        <v>0</v>
      </c>
      <c r="BM50" s="67"/>
      <c r="BN50" s="85">
        <v>50754</v>
      </c>
      <c r="BO50" s="40"/>
      <c r="BP50" s="87"/>
      <c r="BQ50" s="40">
        <f t="shared" si="6"/>
        <v>0</v>
      </c>
      <c r="BR50" s="40">
        <f t="shared" si="7"/>
        <v>0</v>
      </c>
      <c r="BS50" s="67"/>
      <c r="BT50" s="85">
        <v>50754</v>
      </c>
      <c r="BU50" s="40"/>
      <c r="BV50" s="40"/>
      <c r="BW50" s="40"/>
      <c r="BX50" s="40"/>
      <c r="BY50" s="40">
        <f t="shared" si="8"/>
        <v>0</v>
      </c>
      <c r="BZ50" s="40"/>
      <c r="CA50" s="85">
        <v>50754</v>
      </c>
      <c r="CF50" s="40">
        <f t="shared" si="9"/>
        <v>0</v>
      </c>
      <c r="CG50" s="85"/>
      <c r="CH50" s="85">
        <v>50754</v>
      </c>
      <c r="CN50" s="85">
        <v>50754</v>
      </c>
      <c r="CR50" s="40">
        <v>0</v>
      </c>
      <c r="CT50" s="85">
        <v>50754</v>
      </c>
      <c r="CX50" s="40">
        <v>0</v>
      </c>
      <c r="CZ50" s="85">
        <v>50754</v>
      </c>
      <c r="DE50" s="40">
        <f t="shared" si="10"/>
        <v>0</v>
      </c>
      <c r="DG50" s="85">
        <v>50754</v>
      </c>
      <c r="DL50" s="40">
        <f t="shared" si="11"/>
        <v>0</v>
      </c>
      <c r="DN50" s="85">
        <v>50754</v>
      </c>
      <c r="DS50" s="40">
        <f t="shared" si="12"/>
        <v>0</v>
      </c>
      <c r="DU50" s="85">
        <v>50754</v>
      </c>
      <c r="DZ50" s="40">
        <f t="shared" si="13"/>
        <v>0</v>
      </c>
    </row>
    <row r="51" spans="2:130" x14ac:dyDescent="0.4">
      <c r="B51" s="85">
        <v>50951</v>
      </c>
      <c r="C51" s="85"/>
      <c r="D51" s="85">
        <v>50936</v>
      </c>
      <c r="E51" s="40">
        <f t="shared" si="0"/>
        <v>0</v>
      </c>
      <c r="F51" s="40">
        <f t="shared" si="1"/>
        <v>0</v>
      </c>
      <c r="G51" s="40">
        <f t="shared" si="2"/>
        <v>0</v>
      </c>
      <c r="H51" s="39">
        <v>0</v>
      </c>
      <c r="I51" s="40">
        <f t="shared" si="3"/>
        <v>0</v>
      </c>
      <c r="J51" s="40">
        <f>SUM(I50:I51)</f>
        <v>0</v>
      </c>
      <c r="L51" s="85">
        <v>50936</v>
      </c>
      <c r="M51" s="40"/>
      <c r="N51" s="40"/>
      <c r="O51" s="40"/>
      <c r="P51" s="40"/>
      <c r="Q51" s="40">
        <v>0</v>
      </c>
      <c r="S51" s="85">
        <v>50936</v>
      </c>
      <c r="T51" s="40"/>
      <c r="U51" s="40"/>
      <c r="V51" s="40"/>
      <c r="W51" s="40"/>
      <c r="X51" s="40">
        <v>0</v>
      </c>
      <c r="Z51" s="85">
        <v>50936</v>
      </c>
      <c r="AA51" s="40"/>
      <c r="AB51" s="40"/>
      <c r="AC51" s="40"/>
      <c r="AD51" s="40"/>
      <c r="AE51" s="40">
        <v>0</v>
      </c>
      <c r="AG51" s="85">
        <v>50936</v>
      </c>
      <c r="AH51" s="40"/>
      <c r="AI51" s="40"/>
      <c r="AJ51" s="40"/>
      <c r="AK51" s="40">
        <v>0</v>
      </c>
      <c r="AM51" s="85">
        <v>50936</v>
      </c>
      <c r="AN51" s="40"/>
      <c r="AO51" s="87">
        <v>0</v>
      </c>
      <c r="AP51" s="40"/>
      <c r="AQ51" s="40">
        <v>0</v>
      </c>
      <c r="AS51" s="85">
        <v>50936</v>
      </c>
      <c r="AT51" s="40"/>
      <c r="AU51" s="87"/>
      <c r="AV51" s="40"/>
      <c r="AW51" s="40"/>
      <c r="AX51" s="40">
        <f t="shared" si="5"/>
        <v>0</v>
      </c>
      <c r="AY51" s="67"/>
      <c r="AZ51" s="85">
        <v>50936</v>
      </c>
      <c r="BB51" s="40"/>
      <c r="BC51" s="87"/>
      <c r="BE51" s="40">
        <v>0</v>
      </c>
      <c r="BF51" s="67"/>
      <c r="BG51" s="85">
        <v>50936</v>
      </c>
      <c r="BH51" s="40"/>
      <c r="BI51" s="87"/>
      <c r="BJ51" s="40"/>
      <c r="BK51" s="40"/>
      <c r="BL51" s="40">
        <v>0</v>
      </c>
      <c r="BM51" s="67"/>
      <c r="BN51" s="85">
        <v>50936</v>
      </c>
      <c r="BO51" s="40"/>
      <c r="BP51" s="87"/>
      <c r="BQ51" s="40">
        <f t="shared" si="6"/>
        <v>0</v>
      </c>
      <c r="BR51" s="40">
        <f t="shared" si="7"/>
        <v>0</v>
      </c>
      <c r="BS51" s="67"/>
      <c r="BT51" s="85">
        <v>50936</v>
      </c>
      <c r="BU51" s="40"/>
      <c r="BV51" s="40"/>
      <c r="BW51" s="40"/>
      <c r="BX51" s="40"/>
      <c r="BY51" s="40">
        <f t="shared" si="8"/>
        <v>0</v>
      </c>
      <c r="BZ51" s="40"/>
      <c r="CA51" s="85">
        <v>50936</v>
      </c>
      <c r="CF51" s="40">
        <f t="shared" si="9"/>
        <v>0</v>
      </c>
      <c r="CG51" s="85"/>
      <c r="CH51" s="85">
        <v>50936</v>
      </c>
      <c r="CN51" s="85">
        <v>50936</v>
      </c>
      <c r="CR51" s="40">
        <v>0</v>
      </c>
      <c r="CT51" s="85">
        <v>50936</v>
      </c>
      <c r="CX51" s="40">
        <v>0</v>
      </c>
      <c r="CZ51" s="85">
        <v>50936</v>
      </c>
      <c r="DE51" s="40">
        <f t="shared" si="10"/>
        <v>0</v>
      </c>
      <c r="DG51" s="85">
        <v>50936</v>
      </c>
      <c r="DL51" s="40">
        <f t="shared" si="11"/>
        <v>0</v>
      </c>
      <c r="DN51" s="85">
        <v>50936</v>
      </c>
      <c r="DS51" s="40">
        <f t="shared" si="12"/>
        <v>0</v>
      </c>
      <c r="DU51" s="85">
        <v>50936</v>
      </c>
      <c r="DZ51" s="40">
        <f t="shared" si="13"/>
        <v>0</v>
      </c>
    </row>
    <row r="52" spans="2:130" x14ac:dyDescent="0.4">
      <c r="B52" s="85">
        <v>51135</v>
      </c>
      <c r="C52" s="85"/>
      <c r="D52" s="85">
        <v>51119</v>
      </c>
      <c r="E52" s="40">
        <f t="shared" si="0"/>
        <v>0</v>
      </c>
      <c r="F52" s="40">
        <f t="shared" si="1"/>
        <v>0</v>
      </c>
      <c r="G52" s="40">
        <f t="shared" si="2"/>
        <v>0</v>
      </c>
      <c r="H52" s="39">
        <v>0</v>
      </c>
      <c r="I52" s="40">
        <f t="shared" si="3"/>
        <v>0</v>
      </c>
      <c r="J52" s="40"/>
      <c r="L52" s="85">
        <v>51119</v>
      </c>
      <c r="M52" s="40"/>
      <c r="N52" s="40"/>
      <c r="O52" s="40"/>
      <c r="P52" s="40"/>
      <c r="Q52" s="40">
        <v>0</v>
      </c>
      <c r="S52" s="85">
        <v>51119</v>
      </c>
      <c r="T52" s="40"/>
      <c r="U52" s="40"/>
      <c r="V52" s="40"/>
      <c r="W52" s="40"/>
      <c r="X52" s="40">
        <v>0</v>
      </c>
      <c r="Z52" s="85">
        <v>51119</v>
      </c>
      <c r="AA52" s="40"/>
      <c r="AB52" s="40"/>
      <c r="AC52" s="40"/>
      <c r="AD52" s="40"/>
      <c r="AE52" s="40">
        <v>0</v>
      </c>
      <c r="AG52" s="85">
        <v>51119</v>
      </c>
      <c r="AH52" s="40"/>
      <c r="AI52" s="40"/>
      <c r="AJ52" s="40"/>
      <c r="AK52" s="40">
        <v>0</v>
      </c>
      <c r="AM52" s="85">
        <v>51119</v>
      </c>
      <c r="AN52" s="40"/>
      <c r="AO52" s="87">
        <v>0</v>
      </c>
      <c r="AP52" s="40"/>
      <c r="AQ52" s="40">
        <v>0</v>
      </c>
      <c r="AS52" s="85">
        <v>51119</v>
      </c>
      <c r="AT52" s="40"/>
      <c r="AU52" s="87"/>
      <c r="AV52" s="40"/>
      <c r="AW52" s="40"/>
      <c r="AX52" s="40">
        <f t="shared" si="5"/>
        <v>0</v>
      </c>
      <c r="AY52" s="67"/>
      <c r="AZ52" s="85">
        <v>51119</v>
      </c>
      <c r="BB52" s="40"/>
      <c r="BC52" s="87"/>
      <c r="BE52" s="40">
        <v>0</v>
      </c>
      <c r="BF52" s="67"/>
      <c r="BG52" s="85">
        <v>51119</v>
      </c>
      <c r="BH52" s="40"/>
      <c r="BI52" s="87"/>
      <c r="BJ52" s="40"/>
      <c r="BK52" s="40"/>
      <c r="BL52" s="40">
        <v>0</v>
      </c>
      <c r="BM52" s="67"/>
      <c r="BN52" s="85">
        <v>51119</v>
      </c>
      <c r="BO52" s="40"/>
      <c r="BP52" s="87"/>
      <c r="BQ52" s="40">
        <f t="shared" si="6"/>
        <v>0</v>
      </c>
      <c r="BR52" s="40">
        <f t="shared" si="7"/>
        <v>0</v>
      </c>
      <c r="BS52" s="67"/>
      <c r="BT52" s="85">
        <v>51119</v>
      </c>
      <c r="BU52" s="40"/>
      <c r="BV52" s="40"/>
      <c r="BW52" s="40"/>
      <c r="BX52" s="40"/>
      <c r="BY52" s="40">
        <f t="shared" si="8"/>
        <v>0</v>
      </c>
      <c r="BZ52" s="40"/>
      <c r="CA52" s="85">
        <v>51119</v>
      </c>
      <c r="CF52" s="40">
        <f t="shared" si="9"/>
        <v>0</v>
      </c>
      <c r="CG52" s="85"/>
      <c r="CH52" s="85">
        <v>51119</v>
      </c>
      <c r="CN52" s="85">
        <v>51119</v>
      </c>
      <c r="CR52" s="40">
        <v>0</v>
      </c>
      <c r="CT52" s="85">
        <v>51119</v>
      </c>
      <c r="CX52" s="40">
        <v>0</v>
      </c>
      <c r="CZ52" s="85">
        <v>51119</v>
      </c>
      <c r="DE52" s="40">
        <f t="shared" si="10"/>
        <v>0</v>
      </c>
      <c r="DG52" s="85">
        <v>51119</v>
      </c>
      <c r="DL52" s="40">
        <f t="shared" si="11"/>
        <v>0</v>
      </c>
      <c r="DN52" s="85">
        <v>51119</v>
      </c>
      <c r="DS52" s="40">
        <f t="shared" si="12"/>
        <v>0</v>
      </c>
      <c r="DU52" s="85">
        <v>51119</v>
      </c>
      <c r="DZ52" s="40">
        <f t="shared" si="13"/>
        <v>0</v>
      </c>
    </row>
    <row r="53" spans="2:130" x14ac:dyDescent="0.4">
      <c r="B53" s="85">
        <v>51317</v>
      </c>
      <c r="C53" s="85"/>
      <c r="D53" s="85">
        <v>51302</v>
      </c>
      <c r="E53" s="40">
        <f t="shared" si="0"/>
        <v>0</v>
      </c>
      <c r="F53" s="40">
        <f t="shared" si="1"/>
        <v>0</v>
      </c>
      <c r="G53" s="40">
        <f t="shared" si="2"/>
        <v>0</v>
      </c>
      <c r="H53" s="39">
        <v>0</v>
      </c>
      <c r="I53" s="40">
        <f t="shared" si="3"/>
        <v>0</v>
      </c>
      <c r="J53" s="40">
        <f>SUM(I52:I53)</f>
        <v>0</v>
      </c>
      <c r="L53" s="85">
        <v>51302</v>
      </c>
      <c r="M53" s="40"/>
      <c r="N53" s="40"/>
      <c r="O53" s="40"/>
      <c r="P53" s="40"/>
      <c r="Q53" s="40">
        <v>0</v>
      </c>
      <c r="S53" s="85">
        <v>51302</v>
      </c>
      <c r="T53" s="40"/>
      <c r="U53" s="40"/>
      <c r="V53" s="40"/>
      <c r="W53" s="40"/>
      <c r="X53" s="40">
        <v>0</v>
      </c>
      <c r="Z53" s="85">
        <v>51302</v>
      </c>
      <c r="AA53" s="40"/>
      <c r="AB53" s="40"/>
      <c r="AC53" s="40"/>
      <c r="AD53" s="40"/>
      <c r="AE53" s="40">
        <v>0</v>
      </c>
      <c r="AG53" s="85">
        <v>51302</v>
      </c>
      <c r="AH53" s="40"/>
      <c r="AI53" s="40"/>
      <c r="AJ53" s="40"/>
      <c r="AK53" s="40">
        <v>0</v>
      </c>
      <c r="AM53" s="85">
        <v>51302</v>
      </c>
      <c r="AN53" s="40"/>
      <c r="AO53" s="87">
        <v>0</v>
      </c>
      <c r="AP53" s="40"/>
      <c r="AQ53" s="40">
        <v>0</v>
      </c>
      <c r="AS53" s="85">
        <v>51302</v>
      </c>
      <c r="AT53" s="40"/>
      <c r="AU53" s="87"/>
      <c r="AV53" s="40"/>
      <c r="AW53" s="40"/>
      <c r="AX53" s="40">
        <f t="shared" si="5"/>
        <v>0</v>
      </c>
      <c r="AY53" s="67"/>
      <c r="AZ53" s="85">
        <v>51302</v>
      </c>
      <c r="BB53" s="40"/>
      <c r="BC53" s="87"/>
      <c r="BE53" s="40">
        <v>0</v>
      </c>
      <c r="BF53" s="67"/>
      <c r="BG53" s="85">
        <v>51302</v>
      </c>
      <c r="BH53" s="40"/>
      <c r="BI53" s="87"/>
      <c r="BJ53" s="40"/>
      <c r="BK53" s="40"/>
      <c r="BL53" s="40">
        <v>0</v>
      </c>
      <c r="BM53" s="67"/>
      <c r="BN53" s="85">
        <v>51302</v>
      </c>
      <c r="BO53" s="40"/>
      <c r="BP53" s="87"/>
      <c r="BQ53" s="40">
        <f t="shared" si="6"/>
        <v>0</v>
      </c>
      <c r="BR53" s="40">
        <f t="shared" si="7"/>
        <v>0</v>
      </c>
      <c r="BS53" s="67"/>
      <c r="BT53" s="85">
        <v>51302</v>
      </c>
      <c r="BU53" s="40"/>
      <c r="BV53" s="40"/>
      <c r="BW53" s="40"/>
      <c r="BX53" s="40"/>
      <c r="BY53" s="40">
        <f t="shared" si="8"/>
        <v>0</v>
      </c>
      <c r="BZ53" s="40"/>
      <c r="CA53" s="85">
        <v>51302</v>
      </c>
      <c r="CF53" s="40">
        <f t="shared" si="9"/>
        <v>0</v>
      </c>
      <c r="CG53" s="85"/>
      <c r="CH53" s="85">
        <v>51302</v>
      </c>
      <c r="CN53" s="85">
        <v>51302</v>
      </c>
      <c r="CR53" s="40">
        <v>0</v>
      </c>
      <c r="CT53" s="85">
        <v>51302</v>
      </c>
      <c r="CX53" s="40">
        <v>0</v>
      </c>
      <c r="CZ53" s="85">
        <v>51302</v>
      </c>
      <c r="DE53" s="40">
        <f t="shared" si="10"/>
        <v>0</v>
      </c>
      <c r="DG53" s="85">
        <v>51302</v>
      </c>
      <c r="DL53" s="40">
        <f t="shared" si="11"/>
        <v>0</v>
      </c>
      <c r="DN53" s="85">
        <v>51302</v>
      </c>
      <c r="DS53" s="40">
        <f t="shared" si="12"/>
        <v>0</v>
      </c>
      <c r="DU53" s="85">
        <v>51302</v>
      </c>
      <c r="DZ53" s="40">
        <f t="shared" si="13"/>
        <v>0</v>
      </c>
    </row>
    <row r="54" spans="2:130" x14ac:dyDescent="0.4">
      <c r="B54" s="85">
        <v>51501</v>
      </c>
      <c r="C54" s="85"/>
      <c r="D54" s="85">
        <v>51485</v>
      </c>
      <c r="E54" s="40">
        <f t="shared" si="0"/>
        <v>0</v>
      </c>
      <c r="F54" s="40">
        <f t="shared" si="1"/>
        <v>0</v>
      </c>
      <c r="G54" s="40">
        <f t="shared" si="2"/>
        <v>0</v>
      </c>
      <c r="H54" s="39">
        <v>0</v>
      </c>
      <c r="I54" s="40">
        <f t="shared" si="3"/>
        <v>0</v>
      </c>
      <c r="J54" s="40"/>
      <c r="L54" s="85">
        <v>51485</v>
      </c>
      <c r="M54" s="40"/>
      <c r="N54" s="40"/>
      <c r="O54" s="40"/>
      <c r="P54" s="40"/>
      <c r="Q54" s="40">
        <v>0</v>
      </c>
      <c r="S54" s="85">
        <v>51485</v>
      </c>
      <c r="T54" s="40"/>
      <c r="U54" s="40"/>
      <c r="V54" s="40"/>
      <c r="W54" s="40"/>
      <c r="X54" s="40">
        <v>0</v>
      </c>
      <c r="Z54" s="85">
        <v>51485</v>
      </c>
      <c r="AA54" s="40"/>
      <c r="AB54" s="40"/>
      <c r="AC54" s="40"/>
      <c r="AD54" s="40"/>
      <c r="AE54" s="40">
        <v>0</v>
      </c>
      <c r="AG54" s="85">
        <v>51485</v>
      </c>
      <c r="AH54" s="40"/>
      <c r="AI54" s="40"/>
      <c r="AJ54" s="40"/>
      <c r="AK54" s="40">
        <v>0</v>
      </c>
      <c r="AM54" s="85">
        <v>51485</v>
      </c>
      <c r="AN54" s="40"/>
      <c r="AO54" s="87">
        <v>0</v>
      </c>
      <c r="AP54" s="40"/>
      <c r="AQ54" s="40">
        <v>0</v>
      </c>
      <c r="AS54" s="85">
        <v>51485</v>
      </c>
      <c r="AT54" s="40"/>
      <c r="AU54" s="87"/>
      <c r="AV54" s="40"/>
      <c r="AW54" s="40"/>
      <c r="AX54" s="40">
        <f t="shared" si="5"/>
        <v>0</v>
      </c>
      <c r="AY54" s="67"/>
      <c r="AZ54" s="85">
        <v>51485</v>
      </c>
      <c r="BB54" s="40"/>
      <c r="BC54" s="87"/>
      <c r="BE54" s="40">
        <v>0</v>
      </c>
      <c r="BF54" s="67"/>
      <c r="BG54" s="85">
        <v>51485</v>
      </c>
      <c r="BH54" s="40"/>
      <c r="BI54" s="87"/>
      <c r="BJ54" s="40"/>
      <c r="BK54" s="40"/>
      <c r="BL54" s="40">
        <v>0</v>
      </c>
      <c r="BM54" s="67"/>
      <c r="BN54" s="85">
        <v>51485</v>
      </c>
      <c r="BO54" s="40"/>
      <c r="BP54" s="87"/>
      <c r="BQ54" s="40">
        <f t="shared" si="6"/>
        <v>0</v>
      </c>
      <c r="BR54" s="40">
        <f t="shared" si="7"/>
        <v>0</v>
      </c>
      <c r="BS54" s="67"/>
      <c r="BT54" s="85">
        <v>51485</v>
      </c>
      <c r="BU54" s="40"/>
      <c r="BV54" s="40"/>
      <c r="BW54" s="40"/>
      <c r="BX54" s="40"/>
      <c r="BY54" s="40">
        <f t="shared" si="8"/>
        <v>0</v>
      </c>
      <c r="BZ54" s="40"/>
      <c r="CA54" s="85">
        <v>51485</v>
      </c>
      <c r="CF54" s="40">
        <f t="shared" si="9"/>
        <v>0</v>
      </c>
      <c r="CG54" s="85"/>
      <c r="CH54" s="85">
        <v>51485</v>
      </c>
      <c r="CN54" s="85">
        <v>51485</v>
      </c>
      <c r="CR54" s="40">
        <v>0</v>
      </c>
      <c r="CT54" s="85">
        <v>51485</v>
      </c>
      <c r="CX54" s="40">
        <v>0</v>
      </c>
      <c r="CZ54" s="85">
        <v>51485</v>
      </c>
      <c r="DE54" s="40">
        <f t="shared" si="10"/>
        <v>0</v>
      </c>
      <c r="DG54" s="85">
        <v>51485</v>
      </c>
      <c r="DL54" s="40">
        <f t="shared" si="11"/>
        <v>0</v>
      </c>
      <c r="DN54" s="85">
        <v>51485</v>
      </c>
      <c r="DS54" s="40">
        <f t="shared" si="12"/>
        <v>0</v>
      </c>
      <c r="DU54" s="85">
        <v>51485</v>
      </c>
      <c r="DZ54" s="40">
        <f t="shared" si="13"/>
        <v>0</v>
      </c>
    </row>
    <row r="55" spans="2:130" x14ac:dyDescent="0.4">
      <c r="B55" s="85">
        <v>51682</v>
      </c>
      <c r="C55" s="85"/>
      <c r="D55" s="85">
        <v>51667</v>
      </c>
      <c r="E55" s="40">
        <f t="shared" si="0"/>
        <v>0</v>
      </c>
      <c r="F55" s="40">
        <f t="shared" si="1"/>
        <v>0</v>
      </c>
      <c r="G55" s="40">
        <f t="shared" si="2"/>
        <v>0</v>
      </c>
      <c r="H55" s="39">
        <v>0</v>
      </c>
      <c r="I55" s="40">
        <f t="shared" si="3"/>
        <v>0</v>
      </c>
      <c r="J55" s="40">
        <f>SUM(I54:I55)</f>
        <v>0</v>
      </c>
      <c r="L55" s="85">
        <v>51667</v>
      </c>
      <c r="M55" s="40"/>
      <c r="N55" s="40"/>
      <c r="O55" s="40"/>
      <c r="P55" s="40"/>
      <c r="Q55" s="40">
        <v>0</v>
      </c>
      <c r="S55" s="85">
        <v>51667</v>
      </c>
      <c r="T55" s="40"/>
      <c r="U55" s="40"/>
      <c r="V55" s="40"/>
      <c r="W55" s="40"/>
      <c r="X55" s="40">
        <v>0</v>
      </c>
      <c r="Z55" s="85">
        <v>51667</v>
      </c>
      <c r="AA55" s="40"/>
      <c r="AB55" s="40"/>
      <c r="AC55" s="40"/>
      <c r="AD55" s="40"/>
      <c r="AE55" s="40">
        <v>0</v>
      </c>
      <c r="AG55" s="85">
        <v>51667</v>
      </c>
      <c r="AH55" s="40"/>
      <c r="AI55" s="40"/>
      <c r="AJ55" s="40"/>
      <c r="AK55" s="40">
        <v>0</v>
      </c>
      <c r="AM55" s="85">
        <v>51667</v>
      </c>
      <c r="AN55" s="40"/>
      <c r="AO55" s="87">
        <v>0</v>
      </c>
      <c r="AP55" s="40"/>
      <c r="AQ55" s="40">
        <v>0</v>
      </c>
      <c r="AS55" s="85">
        <v>51667</v>
      </c>
      <c r="AT55" s="40"/>
      <c r="AU55" s="87"/>
      <c r="AV55" s="40"/>
      <c r="AW55" s="40"/>
      <c r="AX55" s="40">
        <f t="shared" si="5"/>
        <v>0</v>
      </c>
      <c r="AY55" s="67"/>
      <c r="AZ55" s="85">
        <v>51667</v>
      </c>
      <c r="BB55" s="40"/>
      <c r="BC55" s="87"/>
      <c r="BE55" s="40">
        <v>0</v>
      </c>
      <c r="BF55" s="67"/>
      <c r="BG55" s="85">
        <v>51667</v>
      </c>
      <c r="BH55" s="40"/>
      <c r="BI55" s="87"/>
      <c r="BJ55" s="40"/>
      <c r="BK55" s="40"/>
      <c r="BL55" s="40">
        <v>0</v>
      </c>
      <c r="BM55" s="67"/>
      <c r="BN55" s="85">
        <v>51667</v>
      </c>
      <c r="BO55" s="40"/>
      <c r="BP55" s="87"/>
      <c r="BQ55" s="40">
        <f t="shared" si="6"/>
        <v>0</v>
      </c>
      <c r="BR55" s="40">
        <f t="shared" si="7"/>
        <v>0</v>
      </c>
      <c r="BS55" s="67"/>
      <c r="BT55" s="85">
        <v>51667</v>
      </c>
      <c r="BU55" s="40"/>
      <c r="BV55" s="40"/>
      <c r="BW55" s="40"/>
      <c r="BX55" s="40"/>
      <c r="BY55" s="40">
        <f t="shared" si="8"/>
        <v>0</v>
      </c>
      <c r="BZ55" s="40"/>
      <c r="CA55" s="85">
        <v>51667</v>
      </c>
      <c r="CF55" s="40">
        <f t="shared" si="9"/>
        <v>0</v>
      </c>
      <c r="CG55" s="85"/>
      <c r="CH55" s="85">
        <v>51667</v>
      </c>
      <c r="CN55" s="85">
        <v>51667</v>
      </c>
      <c r="CR55" s="40">
        <v>0</v>
      </c>
      <c r="CT55" s="85">
        <v>51667</v>
      </c>
      <c r="CX55" s="40">
        <v>0</v>
      </c>
      <c r="CZ55" s="85">
        <v>51667</v>
      </c>
      <c r="DE55" s="40">
        <f t="shared" si="10"/>
        <v>0</v>
      </c>
      <c r="DG55" s="85">
        <v>51667</v>
      </c>
      <c r="DL55" s="40">
        <f t="shared" si="11"/>
        <v>0</v>
      </c>
      <c r="DN55" s="85">
        <v>51667</v>
      </c>
      <c r="DS55" s="40">
        <f t="shared" si="12"/>
        <v>0</v>
      </c>
      <c r="DU55" s="85">
        <v>51667</v>
      </c>
      <c r="DZ55" s="40">
        <f t="shared" si="13"/>
        <v>0</v>
      </c>
    </row>
    <row r="56" spans="2:130" x14ac:dyDescent="0.4">
      <c r="B56" s="85">
        <v>51866</v>
      </c>
      <c r="C56" s="85"/>
      <c r="D56" s="85">
        <v>51850</v>
      </c>
      <c r="E56" s="40">
        <f t="shared" si="0"/>
        <v>0</v>
      </c>
      <c r="F56" s="40">
        <f t="shared" si="1"/>
        <v>0</v>
      </c>
      <c r="G56" s="40">
        <f t="shared" si="2"/>
        <v>0</v>
      </c>
      <c r="H56" s="39">
        <v>0</v>
      </c>
      <c r="I56" s="40">
        <f t="shared" si="3"/>
        <v>0</v>
      </c>
      <c r="J56" s="40"/>
      <c r="L56" s="85">
        <v>51850</v>
      </c>
      <c r="M56" s="40"/>
      <c r="N56" s="40"/>
      <c r="O56" s="40"/>
      <c r="P56" s="40"/>
      <c r="Q56" s="40">
        <v>0</v>
      </c>
      <c r="S56" s="85">
        <v>51850</v>
      </c>
      <c r="T56" s="40"/>
      <c r="U56" s="40"/>
      <c r="V56" s="40"/>
      <c r="W56" s="40"/>
      <c r="X56" s="40">
        <v>0</v>
      </c>
      <c r="Z56" s="85">
        <v>51850</v>
      </c>
      <c r="AA56" s="40"/>
      <c r="AB56" s="40"/>
      <c r="AC56" s="40"/>
      <c r="AD56" s="40"/>
      <c r="AE56" s="40">
        <v>0</v>
      </c>
      <c r="AG56" s="85">
        <v>51850</v>
      </c>
      <c r="AH56" s="40"/>
      <c r="AI56" s="40"/>
      <c r="AJ56" s="40"/>
      <c r="AK56" s="40">
        <v>0</v>
      </c>
      <c r="AM56" s="85">
        <v>51850</v>
      </c>
      <c r="AN56" s="40"/>
      <c r="AO56" s="87">
        <v>0</v>
      </c>
      <c r="AP56" s="40"/>
      <c r="AQ56" s="40">
        <v>0</v>
      </c>
      <c r="AS56" s="85">
        <v>51850</v>
      </c>
      <c r="AT56" s="40"/>
      <c r="AU56" s="87"/>
      <c r="AV56" s="40"/>
      <c r="AW56" s="40"/>
      <c r="AX56" s="40">
        <f t="shared" si="5"/>
        <v>0</v>
      </c>
      <c r="AY56" s="67"/>
      <c r="AZ56" s="85">
        <v>51850</v>
      </c>
      <c r="BB56" s="40"/>
      <c r="BC56" s="87"/>
      <c r="BE56" s="40">
        <v>0</v>
      </c>
      <c r="BF56" s="67"/>
      <c r="BG56" s="85">
        <v>51850</v>
      </c>
      <c r="BH56" s="40"/>
      <c r="BI56" s="87"/>
      <c r="BJ56" s="40"/>
      <c r="BK56" s="40"/>
      <c r="BL56" s="40">
        <v>0</v>
      </c>
      <c r="BM56" s="67"/>
      <c r="BN56" s="85">
        <v>51850</v>
      </c>
      <c r="BO56" s="40"/>
      <c r="BP56" s="87"/>
      <c r="BQ56" s="40">
        <f t="shared" si="6"/>
        <v>0</v>
      </c>
      <c r="BR56" s="40">
        <f t="shared" si="7"/>
        <v>0</v>
      </c>
      <c r="BS56" s="67"/>
      <c r="BT56" s="85">
        <v>51850</v>
      </c>
      <c r="BU56" s="40"/>
      <c r="BV56" s="40"/>
      <c r="BW56" s="40"/>
      <c r="BX56" s="40"/>
      <c r="BY56" s="40">
        <f t="shared" si="8"/>
        <v>0</v>
      </c>
      <c r="BZ56" s="40"/>
      <c r="CA56" s="85">
        <v>51850</v>
      </c>
      <c r="CF56" s="40">
        <f t="shared" si="9"/>
        <v>0</v>
      </c>
      <c r="CG56" s="85"/>
      <c r="CH56" s="85">
        <v>51850</v>
      </c>
      <c r="CN56" s="85">
        <v>51850</v>
      </c>
      <c r="CR56" s="40">
        <v>0</v>
      </c>
      <c r="CT56" s="85">
        <v>51850</v>
      </c>
      <c r="CX56" s="40">
        <v>0</v>
      </c>
      <c r="CZ56" s="85">
        <v>51850</v>
      </c>
      <c r="DE56" s="40">
        <f t="shared" si="10"/>
        <v>0</v>
      </c>
      <c r="DG56" s="85">
        <v>51850</v>
      </c>
      <c r="DL56" s="40">
        <f t="shared" si="11"/>
        <v>0</v>
      </c>
      <c r="DN56" s="85">
        <v>51850</v>
      </c>
      <c r="DS56" s="40">
        <f t="shared" si="12"/>
        <v>0</v>
      </c>
      <c r="DU56" s="85">
        <v>51850</v>
      </c>
      <c r="DZ56" s="40">
        <f t="shared" si="13"/>
        <v>0</v>
      </c>
    </row>
    <row r="57" spans="2:130" x14ac:dyDescent="0.4">
      <c r="B57" s="85">
        <v>52047</v>
      </c>
      <c r="C57" s="85"/>
      <c r="D57" s="85">
        <v>52032</v>
      </c>
      <c r="E57" s="40">
        <f t="shared" si="0"/>
        <v>0</v>
      </c>
      <c r="F57" s="40">
        <f t="shared" si="1"/>
        <v>0</v>
      </c>
      <c r="G57" s="40">
        <f t="shared" si="2"/>
        <v>0</v>
      </c>
      <c r="H57" s="39">
        <v>0</v>
      </c>
      <c r="I57" s="40">
        <f t="shared" si="3"/>
        <v>0</v>
      </c>
      <c r="J57" s="40">
        <f>SUM(I56:I57)</f>
        <v>0</v>
      </c>
      <c r="L57" s="85">
        <v>52032</v>
      </c>
      <c r="M57" s="40"/>
      <c r="N57" s="40"/>
      <c r="O57" s="40"/>
      <c r="P57" s="40"/>
      <c r="Q57" s="40">
        <v>0</v>
      </c>
      <c r="S57" s="85">
        <v>52032</v>
      </c>
      <c r="T57" s="40"/>
      <c r="U57" s="40"/>
      <c r="V57" s="40"/>
      <c r="W57" s="40"/>
      <c r="X57" s="40">
        <v>0</v>
      </c>
      <c r="Z57" s="85">
        <v>52032</v>
      </c>
      <c r="AA57" s="40"/>
      <c r="AB57" s="40"/>
      <c r="AC57" s="40"/>
      <c r="AD57" s="40"/>
      <c r="AE57" s="40">
        <v>0</v>
      </c>
      <c r="AG57" s="85">
        <v>52032</v>
      </c>
      <c r="AH57" s="40"/>
      <c r="AI57" s="40"/>
      <c r="AJ57" s="40"/>
      <c r="AK57" s="40">
        <v>0</v>
      </c>
      <c r="AM57" s="85">
        <v>52032</v>
      </c>
      <c r="AN57" s="40"/>
      <c r="AO57" s="87">
        <v>0</v>
      </c>
      <c r="AP57" s="40"/>
      <c r="AQ57" s="40">
        <v>0</v>
      </c>
      <c r="AS57" s="85">
        <v>52032</v>
      </c>
      <c r="AT57" s="40"/>
      <c r="AU57" s="87"/>
      <c r="AV57" s="40"/>
      <c r="AW57" s="40"/>
      <c r="AX57" s="40">
        <f t="shared" si="5"/>
        <v>0</v>
      </c>
      <c r="AY57" s="67"/>
      <c r="AZ57" s="85">
        <v>52032</v>
      </c>
      <c r="BB57" s="40"/>
      <c r="BC57" s="87"/>
      <c r="BE57" s="40">
        <v>0</v>
      </c>
      <c r="BF57" s="67"/>
      <c r="BG57" s="85">
        <v>52032</v>
      </c>
      <c r="BH57" s="40"/>
      <c r="BI57" s="87"/>
      <c r="BJ57" s="40"/>
      <c r="BK57" s="40"/>
      <c r="BL57" s="40">
        <v>0</v>
      </c>
      <c r="BM57" s="67"/>
      <c r="BN57" s="85">
        <v>52032</v>
      </c>
      <c r="BO57" s="40"/>
      <c r="BP57" s="87"/>
      <c r="BQ57" s="40">
        <f t="shared" si="6"/>
        <v>0</v>
      </c>
      <c r="BR57" s="40">
        <f t="shared" si="7"/>
        <v>0</v>
      </c>
      <c r="BS57" s="67"/>
      <c r="BT57" s="85">
        <v>52032</v>
      </c>
      <c r="BU57" s="40"/>
      <c r="BV57" s="40"/>
      <c r="BW57" s="40"/>
      <c r="BX57" s="40"/>
      <c r="BY57" s="40">
        <f t="shared" si="8"/>
        <v>0</v>
      </c>
      <c r="BZ57" s="40"/>
      <c r="CA57" s="85">
        <v>52032</v>
      </c>
      <c r="CF57" s="40">
        <f t="shared" si="9"/>
        <v>0</v>
      </c>
      <c r="CG57" s="85"/>
      <c r="CH57" s="85">
        <v>52032</v>
      </c>
      <c r="CN57" s="85">
        <v>52032</v>
      </c>
      <c r="CR57" s="40">
        <v>0</v>
      </c>
      <c r="CT57" s="85">
        <v>52032</v>
      </c>
      <c r="CX57" s="40">
        <v>0</v>
      </c>
      <c r="CZ57" s="85">
        <v>52032</v>
      </c>
      <c r="DE57" s="40">
        <f t="shared" si="10"/>
        <v>0</v>
      </c>
      <c r="DG57" s="85">
        <v>52032</v>
      </c>
      <c r="DL57" s="40">
        <f t="shared" si="11"/>
        <v>0</v>
      </c>
      <c r="DN57" s="85">
        <v>52032</v>
      </c>
      <c r="DS57" s="40">
        <f t="shared" si="12"/>
        <v>0</v>
      </c>
      <c r="DU57" s="85">
        <v>52032</v>
      </c>
      <c r="DZ57" s="40">
        <f t="shared" si="13"/>
        <v>0</v>
      </c>
    </row>
    <row r="58" spans="2:130" x14ac:dyDescent="0.4">
      <c r="B58" s="85">
        <v>52231</v>
      </c>
      <c r="C58" s="85"/>
      <c r="D58" s="85">
        <v>52215</v>
      </c>
      <c r="E58" s="40">
        <f t="shared" si="0"/>
        <v>0</v>
      </c>
      <c r="F58" s="40">
        <f t="shared" si="1"/>
        <v>0</v>
      </c>
      <c r="G58" s="40">
        <f t="shared" si="2"/>
        <v>0</v>
      </c>
      <c r="H58" s="39">
        <v>0</v>
      </c>
      <c r="I58" s="40">
        <f t="shared" si="3"/>
        <v>0</v>
      </c>
      <c r="J58" s="40"/>
      <c r="L58" s="85">
        <v>52215</v>
      </c>
      <c r="M58" s="40"/>
      <c r="N58" s="40"/>
      <c r="O58" s="40"/>
      <c r="P58" s="40"/>
      <c r="Q58" s="40">
        <v>0</v>
      </c>
      <c r="S58" s="85">
        <v>52215</v>
      </c>
      <c r="T58" s="40"/>
      <c r="U58" s="40"/>
      <c r="V58" s="40"/>
      <c r="W58" s="40"/>
      <c r="X58" s="40">
        <v>0</v>
      </c>
      <c r="Z58" s="85">
        <v>52215</v>
      </c>
      <c r="AA58" s="40"/>
      <c r="AB58" s="40"/>
      <c r="AC58" s="40"/>
      <c r="AD58" s="40"/>
      <c r="AE58" s="40">
        <v>0</v>
      </c>
      <c r="AG58" s="85">
        <v>52215</v>
      </c>
      <c r="AH58" s="40"/>
      <c r="AI58" s="40"/>
      <c r="AJ58" s="40"/>
      <c r="AK58" s="40">
        <v>0</v>
      </c>
      <c r="AM58" s="85">
        <v>52215</v>
      </c>
      <c r="AN58" s="40"/>
      <c r="AO58" s="87">
        <v>0</v>
      </c>
      <c r="AP58" s="40"/>
      <c r="AQ58" s="40">
        <v>0</v>
      </c>
      <c r="AS58" s="85">
        <v>52215</v>
      </c>
      <c r="AT58" s="40"/>
      <c r="AU58" s="87"/>
      <c r="AV58" s="40"/>
      <c r="AW58" s="40"/>
      <c r="AX58" s="40">
        <f t="shared" si="5"/>
        <v>0</v>
      </c>
      <c r="AY58" s="67"/>
      <c r="AZ58" s="85">
        <v>52215</v>
      </c>
      <c r="BB58" s="40"/>
      <c r="BC58" s="87"/>
      <c r="BE58" s="40">
        <v>0</v>
      </c>
      <c r="BF58" s="67"/>
      <c r="BG58" s="85">
        <v>52215</v>
      </c>
      <c r="BH58" s="40"/>
      <c r="BI58" s="87"/>
      <c r="BJ58" s="40"/>
      <c r="BK58" s="40"/>
      <c r="BL58" s="40">
        <v>0</v>
      </c>
      <c r="BM58" s="67"/>
      <c r="BN58" s="85">
        <v>52215</v>
      </c>
      <c r="BO58" s="40"/>
      <c r="BP58" s="87"/>
      <c r="BQ58" s="40">
        <f t="shared" si="6"/>
        <v>0</v>
      </c>
      <c r="BR58" s="40">
        <f t="shared" si="7"/>
        <v>0</v>
      </c>
      <c r="BS58" s="67"/>
      <c r="BT58" s="85">
        <v>52215</v>
      </c>
      <c r="BU58" s="40"/>
      <c r="BV58" s="40"/>
      <c r="BW58" s="40"/>
      <c r="BX58" s="40"/>
      <c r="BY58" s="40">
        <f t="shared" si="8"/>
        <v>0</v>
      </c>
      <c r="BZ58" s="40"/>
      <c r="CA58" s="85">
        <v>52215</v>
      </c>
      <c r="CF58" s="40">
        <f t="shared" si="9"/>
        <v>0</v>
      </c>
      <c r="CG58" s="85"/>
      <c r="CH58" s="85">
        <v>52215</v>
      </c>
      <c r="CN58" s="85">
        <v>52215</v>
      </c>
      <c r="CR58" s="40">
        <v>0</v>
      </c>
      <c r="CT58" s="85">
        <v>52215</v>
      </c>
      <c r="CX58" s="40">
        <v>0</v>
      </c>
      <c r="CZ58" s="85">
        <v>52215</v>
      </c>
      <c r="DE58" s="40">
        <f t="shared" si="10"/>
        <v>0</v>
      </c>
      <c r="DG58" s="85">
        <v>52215</v>
      </c>
      <c r="DL58" s="40">
        <f t="shared" si="11"/>
        <v>0</v>
      </c>
      <c r="DN58" s="85">
        <v>52215</v>
      </c>
      <c r="DS58" s="40">
        <f t="shared" si="12"/>
        <v>0</v>
      </c>
      <c r="DU58" s="85">
        <v>52215</v>
      </c>
      <c r="DZ58" s="40">
        <f t="shared" si="13"/>
        <v>0</v>
      </c>
    </row>
    <row r="59" spans="2:130" x14ac:dyDescent="0.4">
      <c r="B59" s="85">
        <v>52412</v>
      </c>
      <c r="C59" s="85"/>
      <c r="D59" s="85">
        <v>52397</v>
      </c>
      <c r="E59" s="40">
        <f t="shared" si="0"/>
        <v>0</v>
      </c>
      <c r="F59" s="40">
        <f t="shared" si="1"/>
        <v>0</v>
      </c>
      <c r="G59" s="40">
        <f t="shared" si="2"/>
        <v>0</v>
      </c>
      <c r="H59" s="39">
        <v>0</v>
      </c>
      <c r="I59" s="40">
        <f t="shared" si="3"/>
        <v>0</v>
      </c>
      <c r="J59" s="40">
        <f>SUM(I58:I59)</f>
        <v>0</v>
      </c>
      <c r="L59" s="85">
        <v>52397</v>
      </c>
      <c r="M59" s="40"/>
      <c r="N59" s="40"/>
      <c r="O59" s="40"/>
      <c r="P59" s="40"/>
      <c r="Q59" s="40">
        <v>0</v>
      </c>
      <c r="S59" s="85">
        <v>52397</v>
      </c>
      <c r="T59" s="40"/>
      <c r="U59" s="40"/>
      <c r="V59" s="40"/>
      <c r="W59" s="40"/>
      <c r="X59" s="40">
        <v>0</v>
      </c>
      <c r="Z59" s="85">
        <v>52397</v>
      </c>
      <c r="AA59" s="40"/>
      <c r="AB59" s="40"/>
      <c r="AC59" s="40"/>
      <c r="AD59" s="40"/>
      <c r="AE59" s="40">
        <v>0</v>
      </c>
      <c r="AG59" s="85">
        <v>52397</v>
      </c>
      <c r="AH59" s="40"/>
      <c r="AI59" s="40"/>
      <c r="AJ59" s="40"/>
      <c r="AK59" s="40">
        <v>0</v>
      </c>
      <c r="AM59" s="85">
        <v>52397</v>
      </c>
      <c r="AN59" s="40"/>
      <c r="AO59" s="87">
        <v>0</v>
      </c>
      <c r="AP59" s="40"/>
      <c r="AQ59" s="40">
        <v>0</v>
      </c>
      <c r="AS59" s="85">
        <v>52397</v>
      </c>
      <c r="AT59" s="40"/>
      <c r="AU59" s="87"/>
      <c r="AV59" s="40"/>
      <c r="AW59" s="40"/>
      <c r="AX59" s="40">
        <f t="shared" si="5"/>
        <v>0</v>
      </c>
      <c r="AY59" s="67"/>
      <c r="AZ59" s="85">
        <v>52397</v>
      </c>
      <c r="BB59" s="40"/>
      <c r="BC59" s="87"/>
      <c r="BE59" s="40">
        <v>0</v>
      </c>
      <c r="BF59" s="67"/>
      <c r="BG59" s="85">
        <v>52397</v>
      </c>
      <c r="BH59" s="40"/>
      <c r="BI59" s="87"/>
      <c r="BJ59" s="40"/>
      <c r="BK59" s="40"/>
      <c r="BL59" s="40">
        <v>0</v>
      </c>
      <c r="BM59" s="67"/>
      <c r="BN59" s="85">
        <v>52397</v>
      </c>
      <c r="BO59" s="40"/>
      <c r="BP59" s="87"/>
      <c r="BQ59" s="40">
        <f t="shared" si="6"/>
        <v>0</v>
      </c>
      <c r="BR59" s="40">
        <f t="shared" si="7"/>
        <v>0</v>
      </c>
      <c r="BS59" s="67"/>
      <c r="BT59" s="85">
        <v>52397</v>
      </c>
      <c r="BU59" s="40"/>
      <c r="BV59" s="40"/>
      <c r="BW59" s="40"/>
      <c r="BX59" s="40"/>
      <c r="BY59" s="40">
        <f t="shared" si="8"/>
        <v>0</v>
      </c>
      <c r="BZ59" s="40"/>
      <c r="CA59" s="85">
        <v>52397</v>
      </c>
      <c r="CF59" s="40">
        <f t="shared" si="9"/>
        <v>0</v>
      </c>
      <c r="CG59" s="85"/>
      <c r="CH59" s="85">
        <v>52397</v>
      </c>
      <c r="CN59" s="85">
        <v>52397</v>
      </c>
      <c r="CR59" s="40">
        <v>0</v>
      </c>
      <c r="CT59" s="85">
        <v>52397</v>
      </c>
      <c r="CX59" s="40">
        <v>0</v>
      </c>
      <c r="CZ59" s="85">
        <v>52397</v>
      </c>
      <c r="DE59" s="40">
        <f t="shared" si="10"/>
        <v>0</v>
      </c>
      <c r="DG59" s="85">
        <v>52397</v>
      </c>
      <c r="DL59" s="40">
        <f t="shared" si="11"/>
        <v>0</v>
      </c>
      <c r="DN59" s="85">
        <v>52397</v>
      </c>
      <c r="DS59" s="40">
        <f t="shared" si="12"/>
        <v>0</v>
      </c>
      <c r="DU59" s="85">
        <v>52397</v>
      </c>
      <c r="DZ59" s="40">
        <f t="shared" si="13"/>
        <v>0</v>
      </c>
    </row>
    <row r="60" spans="2:130" x14ac:dyDescent="0.4">
      <c r="B60" s="85">
        <v>52596</v>
      </c>
      <c r="C60" s="85"/>
      <c r="D60" s="85">
        <v>52580</v>
      </c>
      <c r="E60" s="40">
        <f t="shared" si="0"/>
        <v>0</v>
      </c>
      <c r="F60" s="40">
        <f t="shared" si="1"/>
        <v>0</v>
      </c>
      <c r="G60" s="40">
        <f t="shared" si="2"/>
        <v>0</v>
      </c>
      <c r="H60" s="39">
        <v>0</v>
      </c>
      <c r="I60" s="40">
        <f t="shared" si="3"/>
        <v>0</v>
      </c>
      <c r="J60" s="40"/>
      <c r="L60" s="85">
        <v>52580</v>
      </c>
      <c r="M60" s="40"/>
      <c r="N60" s="40"/>
      <c r="O60" s="40"/>
      <c r="P60" s="40"/>
      <c r="Q60" s="40">
        <v>0</v>
      </c>
      <c r="S60" s="85">
        <v>52580</v>
      </c>
      <c r="T60" s="40"/>
      <c r="U60" s="40"/>
      <c r="V60" s="40"/>
      <c r="W60" s="40"/>
      <c r="X60" s="40">
        <v>0</v>
      </c>
      <c r="Z60" s="85">
        <v>52580</v>
      </c>
      <c r="AA60" s="40"/>
      <c r="AB60" s="40"/>
      <c r="AC60" s="40"/>
      <c r="AD60" s="40"/>
      <c r="AE60" s="40">
        <v>0</v>
      </c>
      <c r="AG60" s="85">
        <v>52580</v>
      </c>
      <c r="AH60" s="40"/>
      <c r="AI60" s="40"/>
      <c r="AJ60" s="40"/>
      <c r="AK60" s="40">
        <v>0</v>
      </c>
      <c r="AM60" s="85">
        <v>52580</v>
      </c>
      <c r="AN60" s="40"/>
      <c r="AO60" s="87">
        <v>0</v>
      </c>
      <c r="AP60" s="40"/>
      <c r="AQ60" s="40">
        <v>0</v>
      </c>
      <c r="AS60" s="85">
        <v>52580</v>
      </c>
      <c r="AT60" s="40"/>
      <c r="AU60" s="87"/>
      <c r="AV60" s="40"/>
      <c r="AW60" s="40"/>
      <c r="AX60" s="40">
        <f t="shared" si="5"/>
        <v>0</v>
      </c>
      <c r="AY60" s="67"/>
      <c r="AZ60" s="85">
        <v>52580</v>
      </c>
      <c r="BB60" s="40"/>
      <c r="BC60" s="87"/>
      <c r="BE60" s="40">
        <v>0</v>
      </c>
      <c r="BF60" s="67"/>
      <c r="BG60" s="85">
        <v>52580</v>
      </c>
      <c r="BH60" s="40"/>
      <c r="BI60" s="87"/>
      <c r="BJ60" s="40"/>
      <c r="BK60" s="40"/>
      <c r="BL60" s="40">
        <v>0</v>
      </c>
      <c r="BM60" s="67"/>
      <c r="BN60" s="85">
        <v>52580</v>
      </c>
      <c r="BO60" s="40"/>
      <c r="BP60" s="87"/>
      <c r="BQ60" s="40">
        <f t="shared" si="6"/>
        <v>0</v>
      </c>
      <c r="BR60" s="40">
        <f t="shared" si="7"/>
        <v>0</v>
      </c>
      <c r="BS60" s="67"/>
      <c r="BT60" s="85">
        <v>52580</v>
      </c>
      <c r="BU60" s="40"/>
      <c r="BV60" s="40"/>
      <c r="BW60" s="40"/>
      <c r="BX60" s="40"/>
      <c r="BY60" s="40">
        <f t="shared" si="8"/>
        <v>0</v>
      </c>
      <c r="BZ60" s="40"/>
      <c r="CA60" s="85">
        <v>52580</v>
      </c>
      <c r="CF60" s="40">
        <f t="shared" si="9"/>
        <v>0</v>
      </c>
      <c r="CG60" s="85"/>
      <c r="CH60" s="85">
        <v>52580</v>
      </c>
      <c r="CN60" s="85">
        <v>52580</v>
      </c>
      <c r="CR60" s="40">
        <v>0</v>
      </c>
      <c r="CT60" s="85">
        <v>52580</v>
      </c>
      <c r="CX60" s="40">
        <v>0</v>
      </c>
      <c r="CZ60" s="85">
        <v>52580</v>
      </c>
      <c r="DE60" s="40">
        <f t="shared" si="10"/>
        <v>0</v>
      </c>
      <c r="DG60" s="85">
        <v>52580</v>
      </c>
      <c r="DL60" s="40">
        <f t="shared" si="11"/>
        <v>0</v>
      </c>
      <c r="DN60" s="85">
        <v>52580</v>
      </c>
      <c r="DS60" s="40">
        <f t="shared" si="12"/>
        <v>0</v>
      </c>
      <c r="DU60" s="85">
        <v>52580</v>
      </c>
      <c r="DZ60" s="40">
        <f t="shared" si="13"/>
        <v>0</v>
      </c>
    </row>
    <row r="61" spans="2:130" x14ac:dyDescent="0.4">
      <c r="B61" s="85">
        <v>52778</v>
      </c>
      <c r="C61" s="85"/>
      <c r="D61" s="85">
        <v>52763</v>
      </c>
      <c r="E61" s="40">
        <f t="shared" si="0"/>
        <v>0</v>
      </c>
      <c r="F61" s="40">
        <f t="shared" si="1"/>
        <v>0</v>
      </c>
      <c r="G61" s="40">
        <f t="shared" si="2"/>
        <v>0</v>
      </c>
      <c r="H61" s="39">
        <v>0</v>
      </c>
      <c r="I61" s="40">
        <f t="shared" si="3"/>
        <v>0</v>
      </c>
      <c r="J61" s="40">
        <f>SUM(I60:I61)</f>
        <v>0</v>
      </c>
      <c r="L61" s="85">
        <v>52763</v>
      </c>
      <c r="M61" s="40"/>
      <c r="N61" s="40"/>
      <c r="O61" s="40"/>
      <c r="P61" s="40"/>
      <c r="Q61" s="40">
        <v>0</v>
      </c>
      <c r="S61" s="85">
        <v>52763</v>
      </c>
      <c r="T61" s="40"/>
      <c r="U61" s="40"/>
      <c r="V61" s="40"/>
      <c r="W61" s="40"/>
      <c r="X61" s="40">
        <v>0</v>
      </c>
      <c r="Z61" s="85">
        <v>52763</v>
      </c>
      <c r="AA61" s="40"/>
      <c r="AB61" s="40"/>
      <c r="AC61" s="40"/>
      <c r="AD61" s="40"/>
      <c r="AE61" s="40">
        <v>0</v>
      </c>
      <c r="AG61" s="85">
        <v>52763</v>
      </c>
      <c r="AH61" s="40"/>
      <c r="AI61" s="40"/>
      <c r="AJ61" s="40"/>
      <c r="AK61" s="40">
        <v>0</v>
      </c>
      <c r="AM61" s="85">
        <v>52763</v>
      </c>
      <c r="AN61" s="40"/>
      <c r="AO61" s="87">
        <v>0</v>
      </c>
      <c r="AP61" s="40"/>
      <c r="AQ61" s="40">
        <v>0</v>
      </c>
      <c r="AS61" s="85">
        <v>52763</v>
      </c>
      <c r="AT61" s="40"/>
      <c r="AU61" s="87"/>
      <c r="AV61" s="40"/>
      <c r="AW61" s="40"/>
      <c r="AX61" s="40">
        <f t="shared" si="5"/>
        <v>0</v>
      </c>
      <c r="AY61" s="67"/>
      <c r="AZ61" s="85">
        <v>52763</v>
      </c>
      <c r="BB61" s="40"/>
      <c r="BC61" s="87"/>
      <c r="BE61" s="40">
        <v>0</v>
      </c>
      <c r="BF61" s="67"/>
      <c r="BG61" s="85">
        <v>52763</v>
      </c>
      <c r="BH61" s="40"/>
      <c r="BI61" s="87"/>
      <c r="BJ61" s="40"/>
      <c r="BK61" s="40"/>
      <c r="BL61" s="40">
        <v>0</v>
      </c>
      <c r="BM61" s="67"/>
      <c r="BN61" s="85">
        <v>52763</v>
      </c>
      <c r="BO61" s="40"/>
      <c r="BP61" s="87"/>
      <c r="BQ61" s="40">
        <f t="shared" si="6"/>
        <v>0</v>
      </c>
      <c r="BR61" s="40">
        <f t="shared" si="7"/>
        <v>0</v>
      </c>
      <c r="BS61" s="67"/>
      <c r="BT61" s="85">
        <v>52763</v>
      </c>
      <c r="BU61" s="40"/>
      <c r="BV61" s="40"/>
      <c r="BW61" s="40"/>
      <c r="BX61" s="40"/>
      <c r="BY61" s="40">
        <f t="shared" si="8"/>
        <v>0</v>
      </c>
      <c r="BZ61" s="40"/>
      <c r="CA61" s="85">
        <v>52763</v>
      </c>
      <c r="CF61" s="40">
        <f t="shared" si="9"/>
        <v>0</v>
      </c>
      <c r="CG61" s="85"/>
      <c r="CH61" s="85">
        <v>52763</v>
      </c>
      <c r="CN61" s="85">
        <v>52763</v>
      </c>
      <c r="CR61" s="40">
        <v>0</v>
      </c>
      <c r="CT61" s="85">
        <v>52763</v>
      </c>
      <c r="CX61" s="40">
        <v>0</v>
      </c>
      <c r="CZ61" s="85">
        <v>52763</v>
      </c>
      <c r="DE61" s="40">
        <f t="shared" si="10"/>
        <v>0</v>
      </c>
      <c r="DG61" s="85">
        <v>52763</v>
      </c>
      <c r="DL61" s="40">
        <f t="shared" si="11"/>
        <v>0</v>
      </c>
      <c r="DN61" s="85">
        <v>52763</v>
      </c>
      <c r="DS61" s="40">
        <f t="shared" si="12"/>
        <v>0</v>
      </c>
      <c r="DU61" s="85">
        <v>52763</v>
      </c>
      <c r="DZ61" s="40">
        <f t="shared" si="13"/>
        <v>0</v>
      </c>
    </row>
    <row r="62" spans="2:130" x14ac:dyDescent="0.4">
      <c r="B62" s="85">
        <v>52962</v>
      </c>
      <c r="C62" s="85"/>
      <c r="D62" s="85">
        <v>52946</v>
      </c>
      <c r="E62" s="40">
        <f t="shared" si="0"/>
        <v>0</v>
      </c>
      <c r="F62" s="40">
        <f t="shared" si="1"/>
        <v>0</v>
      </c>
      <c r="G62" s="40">
        <f t="shared" si="2"/>
        <v>0</v>
      </c>
      <c r="H62" s="39">
        <v>0</v>
      </c>
      <c r="I62" s="40">
        <f t="shared" si="3"/>
        <v>0</v>
      </c>
      <c r="J62" s="40"/>
      <c r="L62" s="85">
        <v>52946</v>
      </c>
      <c r="M62" s="40"/>
      <c r="N62" s="40"/>
      <c r="O62" s="40"/>
      <c r="P62" s="40"/>
      <c r="Q62" s="40">
        <v>0</v>
      </c>
      <c r="S62" s="85">
        <v>52946</v>
      </c>
      <c r="T62" s="40"/>
      <c r="U62" s="40"/>
      <c r="V62" s="40"/>
      <c r="W62" s="40"/>
      <c r="X62" s="40">
        <v>0</v>
      </c>
      <c r="Z62" s="85">
        <v>52946</v>
      </c>
      <c r="AA62" s="40"/>
      <c r="AB62" s="40"/>
      <c r="AC62" s="40"/>
      <c r="AD62" s="40"/>
      <c r="AE62" s="40">
        <v>0</v>
      </c>
      <c r="AG62" s="85">
        <v>52946</v>
      </c>
      <c r="AH62" s="40"/>
      <c r="AI62" s="40"/>
      <c r="AJ62" s="40"/>
      <c r="AK62" s="40">
        <v>0</v>
      </c>
      <c r="AM62" s="85">
        <v>52946</v>
      </c>
      <c r="AN62" s="40"/>
      <c r="AO62" s="87">
        <v>0</v>
      </c>
      <c r="AP62" s="40"/>
      <c r="AQ62" s="40">
        <v>0</v>
      </c>
      <c r="AS62" s="85">
        <v>52946</v>
      </c>
      <c r="AT62" s="40"/>
      <c r="AU62" s="87"/>
      <c r="AV62" s="40"/>
      <c r="AW62" s="40"/>
      <c r="AX62" s="40">
        <f t="shared" si="5"/>
        <v>0</v>
      </c>
      <c r="AY62" s="67"/>
      <c r="AZ62" s="85">
        <v>52946</v>
      </c>
      <c r="BB62" s="40"/>
      <c r="BC62" s="87"/>
      <c r="BE62" s="40">
        <v>0</v>
      </c>
      <c r="BF62" s="67"/>
      <c r="BG62" s="85">
        <v>52946</v>
      </c>
      <c r="BH62" s="40"/>
      <c r="BI62" s="87"/>
      <c r="BJ62" s="40"/>
      <c r="BK62" s="40"/>
      <c r="BL62" s="40">
        <v>0</v>
      </c>
      <c r="BM62" s="67"/>
      <c r="BN62" s="85">
        <v>52946</v>
      </c>
      <c r="BO62" s="40"/>
      <c r="BP62" s="87"/>
      <c r="BQ62" s="40">
        <f t="shared" si="6"/>
        <v>0</v>
      </c>
      <c r="BR62" s="40">
        <f t="shared" si="7"/>
        <v>0</v>
      </c>
      <c r="BS62" s="67"/>
      <c r="BT62" s="85">
        <v>52946</v>
      </c>
      <c r="BU62" s="40"/>
      <c r="BV62" s="40"/>
      <c r="BW62" s="40"/>
      <c r="BX62" s="40"/>
      <c r="BY62" s="40">
        <f t="shared" si="8"/>
        <v>0</v>
      </c>
      <c r="BZ62" s="40"/>
      <c r="CA62" s="85">
        <v>52946</v>
      </c>
      <c r="CF62" s="40">
        <f t="shared" si="9"/>
        <v>0</v>
      </c>
      <c r="CG62" s="85"/>
      <c r="CH62" s="85">
        <v>52946</v>
      </c>
      <c r="CN62" s="85">
        <v>52946</v>
      </c>
      <c r="CR62" s="40">
        <v>0</v>
      </c>
      <c r="CT62" s="85">
        <v>52946</v>
      </c>
      <c r="CX62" s="40">
        <v>0</v>
      </c>
      <c r="CZ62" s="85">
        <v>52946</v>
      </c>
      <c r="DE62" s="40">
        <f t="shared" si="10"/>
        <v>0</v>
      </c>
      <c r="DG62" s="85">
        <v>52946</v>
      </c>
      <c r="DL62" s="40">
        <f t="shared" si="11"/>
        <v>0</v>
      </c>
      <c r="DN62" s="85">
        <v>52946</v>
      </c>
      <c r="DS62" s="40">
        <f t="shared" si="12"/>
        <v>0</v>
      </c>
      <c r="DU62" s="85">
        <v>52946</v>
      </c>
      <c r="DZ62" s="40">
        <f t="shared" si="13"/>
        <v>0</v>
      </c>
    </row>
    <row r="63" spans="2:130" x14ac:dyDescent="0.4">
      <c r="B63" s="85">
        <v>53143</v>
      </c>
      <c r="C63" s="85"/>
      <c r="D63" s="85">
        <v>53128</v>
      </c>
      <c r="E63" s="40">
        <f t="shared" si="0"/>
        <v>0</v>
      </c>
      <c r="F63" s="40">
        <f t="shared" si="1"/>
        <v>0</v>
      </c>
      <c r="G63" s="40">
        <f t="shared" si="2"/>
        <v>0</v>
      </c>
      <c r="H63" s="39">
        <v>0</v>
      </c>
      <c r="I63" s="40">
        <f t="shared" si="3"/>
        <v>0</v>
      </c>
      <c r="J63" s="40">
        <f>SUM(I62:I63)</f>
        <v>0</v>
      </c>
      <c r="L63" s="85">
        <v>53128</v>
      </c>
      <c r="M63" s="40"/>
      <c r="N63" s="40"/>
      <c r="O63" s="40"/>
      <c r="P63" s="40"/>
      <c r="Q63" s="40">
        <v>0</v>
      </c>
      <c r="S63" s="85">
        <v>53128</v>
      </c>
      <c r="T63" s="40"/>
      <c r="U63" s="40"/>
      <c r="V63" s="40"/>
      <c r="W63" s="40"/>
      <c r="X63" s="40">
        <v>0</v>
      </c>
      <c r="Z63" s="85">
        <v>53128</v>
      </c>
      <c r="AA63" s="40"/>
      <c r="AB63" s="40"/>
      <c r="AC63" s="40"/>
      <c r="AD63" s="40"/>
      <c r="AE63" s="40">
        <v>0</v>
      </c>
      <c r="AG63" s="85">
        <v>53128</v>
      </c>
      <c r="AH63" s="40"/>
      <c r="AI63" s="40"/>
      <c r="AJ63" s="40"/>
      <c r="AK63" s="40">
        <v>0</v>
      </c>
      <c r="AM63" s="85">
        <v>53128</v>
      </c>
      <c r="AN63" s="40"/>
      <c r="AO63" s="87">
        <v>0</v>
      </c>
      <c r="AP63" s="40"/>
      <c r="AQ63" s="40">
        <v>0</v>
      </c>
      <c r="AS63" s="85">
        <v>53128</v>
      </c>
      <c r="AT63" s="40"/>
      <c r="AU63" s="87"/>
      <c r="AV63" s="40"/>
      <c r="AW63" s="40"/>
      <c r="AX63" s="40">
        <f t="shared" si="5"/>
        <v>0</v>
      </c>
      <c r="AY63" s="67"/>
      <c r="AZ63" s="85">
        <v>53128</v>
      </c>
      <c r="BB63" s="40"/>
      <c r="BC63" s="87"/>
      <c r="BE63" s="40">
        <v>0</v>
      </c>
      <c r="BF63" s="67"/>
      <c r="BG63" s="85">
        <v>53128</v>
      </c>
      <c r="BH63" s="40"/>
      <c r="BI63" s="87"/>
      <c r="BJ63" s="40"/>
      <c r="BK63" s="40"/>
      <c r="BL63" s="40">
        <v>0</v>
      </c>
      <c r="BM63" s="67"/>
      <c r="BN63" s="85">
        <v>53128</v>
      </c>
      <c r="BO63" s="40"/>
      <c r="BP63" s="87"/>
      <c r="BQ63" s="40">
        <f t="shared" si="6"/>
        <v>0</v>
      </c>
      <c r="BR63" s="40">
        <f t="shared" si="7"/>
        <v>0</v>
      </c>
      <c r="BS63" s="67"/>
      <c r="BT63" s="85">
        <v>53128</v>
      </c>
      <c r="BU63" s="40"/>
      <c r="BV63" s="40"/>
      <c r="BW63" s="40"/>
      <c r="BX63" s="40"/>
      <c r="BY63" s="40">
        <f t="shared" si="8"/>
        <v>0</v>
      </c>
      <c r="BZ63" s="40"/>
      <c r="CA63" s="85">
        <v>53128</v>
      </c>
      <c r="CF63" s="40">
        <f t="shared" si="9"/>
        <v>0</v>
      </c>
      <c r="CG63" s="85"/>
      <c r="CH63" s="85">
        <v>53128</v>
      </c>
      <c r="CN63" s="85">
        <v>53128</v>
      </c>
      <c r="CR63" s="40">
        <v>0</v>
      </c>
      <c r="CT63" s="85">
        <v>53128</v>
      </c>
      <c r="CX63" s="40">
        <v>0</v>
      </c>
      <c r="CZ63" s="85">
        <v>53128</v>
      </c>
      <c r="DE63" s="40">
        <f t="shared" si="10"/>
        <v>0</v>
      </c>
      <c r="DG63" s="85">
        <v>53128</v>
      </c>
      <c r="DL63" s="40">
        <f t="shared" si="11"/>
        <v>0</v>
      </c>
      <c r="DN63" s="85">
        <v>53128</v>
      </c>
      <c r="DS63" s="40">
        <f t="shared" si="12"/>
        <v>0</v>
      </c>
      <c r="DU63" s="85">
        <v>53128</v>
      </c>
      <c r="DZ63" s="40">
        <f t="shared" si="13"/>
        <v>0</v>
      </c>
    </row>
    <row r="64" spans="2:130" x14ac:dyDescent="0.4">
      <c r="B64" s="85">
        <v>53327</v>
      </c>
      <c r="C64" s="85"/>
      <c r="D64" s="85">
        <v>53311</v>
      </c>
      <c r="E64" s="40">
        <f t="shared" si="0"/>
        <v>0</v>
      </c>
      <c r="F64" s="40">
        <f t="shared" si="1"/>
        <v>0</v>
      </c>
      <c r="G64" s="40">
        <f t="shared" si="2"/>
        <v>0</v>
      </c>
      <c r="H64" s="39">
        <v>0</v>
      </c>
      <c r="I64" s="40">
        <f t="shared" si="3"/>
        <v>0</v>
      </c>
      <c r="J64" s="40"/>
      <c r="L64" s="85">
        <v>53311</v>
      </c>
      <c r="M64" s="40"/>
      <c r="N64" s="40"/>
      <c r="O64" s="40"/>
      <c r="P64" s="40"/>
      <c r="Q64" s="40">
        <v>0</v>
      </c>
      <c r="S64" s="85">
        <v>53311</v>
      </c>
      <c r="T64" s="40"/>
      <c r="U64" s="40"/>
      <c r="V64" s="40"/>
      <c r="W64" s="40"/>
      <c r="X64" s="40">
        <v>0</v>
      </c>
      <c r="Z64" s="85">
        <v>53311</v>
      </c>
      <c r="AA64" s="40"/>
      <c r="AB64" s="40"/>
      <c r="AC64" s="40"/>
      <c r="AD64" s="40"/>
      <c r="AE64" s="40">
        <v>0</v>
      </c>
      <c r="AG64" s="85">
        <v>53311</v>
      </c>
      <c r="AH64" s="40"/>
      <c r="AI64" s="40"/>
      <c r="AJ64" s="40"/>
      <c r="AK64" s="40">
        <v>0</v>
      </c>
      <c r="AM64" s="85">
        <v>53311</v>
      </c>
      <c r="AN64" s="40"/>
      <c r="AO64" s="87">
        <v>0</v>
      </c>
      <c r="AP64" s="40"/>
      <c r="AQ64" s="40">
        <v>0</v>
      </c>
      <c r="AS64" s="85">
        <v>53311</v>
      </c>
      <c r="AT64" s="40"/>
      <c r="AU64" s="87"/>
      <c r="AV64" s="40"/>
      <c r="AW64" s="40"/>
      <c r="AX64" s="40">
        <f t="shared" si="5"/>
        <v>0</v>
      </c>
      <c r="AY64" s="67"/>
      <c r="AZ64" s="85">
        <v>53311</v>
      </c>
      <c r="BB64" s="40"/>
      <c r="BC64" s="87"/>
      <c r="BE64" s="40">
        <v>0</v>
      </c>
      <c r="BF64" s="67"/>
      <c r="BG64" s="85">
        <v>53311</v>
      </c>
      <c r="BH64" s="40"/>
      <c r="BI64" s="87"/>
      <c r="BJ64" s="40"/>
      <c r="BK64" s="40"/>
      <c r="BL64" s="40">
        <v>0</v>
      </c>
      <c r="BM64" s="67"/>
      <c r="BN64" s="85">
        <v>53311</v>
      </c>
      <c r="BO64" s="40"/>
      <c r="BP64" s="87"/>
      <c r="BQ64" s="40">
        <f t="shared" si="6"/>
        <v>0</v>
      </c>
      <c r="BR64" s="40">
        <f t="shared" si="7"/>
        <v>0</v>
      </c>
      <c r="BS64" s="67"/>
      <c r="BT64" s="85">
        <v>53311</v>
      </c>
      <c r="BU64" s="40"/>
      <c r="BV64" s="40"/>
      <c r="BW64" s="40"/>
      <c r="BX64" s="40"/>
      <c r="BY64" s="40">
        <f t="shared" si="8"/>
        <v>0</v>
      </c>
      <c r="BZ64" s="40"/>
      <c r="CA64" s="85">
        <v>53311</v>
      </c>
      <c r="CF64" s="40">
        <f t="shared" si="9"/>
        <v>0</v>
      </c>
      <c r="CG64" s="85"/>
      <c r="CH64" s="85">
        <v>53311</v>
      </c>
      <c r="CN64" s="85">
        <v>53311</v>
      </c>
      <c r="CR64" s="40">
        <v>0</v>
      </c>
      <c r="CT64" s="85">
        <v>53311</v>
      </c>
      <c r="CX64" s="40">
        <v>0</v>
      </c>
      <c r="CZ64" s="85">
        <v>53311</v>
      </c>
      <c r="DE64" s="40">
        <f t="shared" si="10"/>
        <v>0</v>
      </c>
      <c r="DG64" s="85">
        <v>53311</v>
      </c>
      <c r="DL64" s="40">
        <f t="shared" si="11"/>
        <v>0</v>
      </c>
      <c r="DN64" s="85">
        <v>53311</v>
      </c>
      <c r="DS64" s="40">
        <f t="shared" si="12"/>
        <v>0</v>
      </c>
      <c r="DU64" s="85">
        <v>53311</v>
      </c>
      <c r="DZ64" s="40">
        <f t="shared" si="13"/>
        <v>0</v>
      </c>
    </row>
    <row r="65" spans="2:130" x14ac:dyDescent="0.4">
      <c r="B65" s="85">
        <v>53508</v>
      </c>
      <c r="C65" s="85"/>
      <c r="D65" s="85">
        <v>53493</v>
      </c>
      <c r="E65" s="40">
        <f t="shared" si="0"/>
        <v>0</v>
      </c>
      <c r="F65" s="40">
        <f t="shared" si="1"/>
        <v>0</v>
      </c>
      <c r="G65" s="40">
        <f t="shared" si="2"/>
        <v>0</v>
      </c>
      <c r="H65" s="39">
        <v>0</v>
      </c>
      <c r="I65" s="40">
        <f t="shared" si="3"/>
        <v>0</v>
      </c>
      <c r="J65" s="40">
        <f>SUM(I64:I65)</f>
        <v>0</v>
      </c>
      <c r="L65" s="85">
        <v>53493</v>
      </c>
      <c r="M65" s="40"/>
      <c r="N65" s="40"/>
      <c r="O65" s="40"/>
      <c r="P65" s="40"/>
      <c r="Q65" s="40">
        <v>0</v>
      </c>
      <c r="S65" s="85">
        <v>53493</v>
      </c>
      <c r="T65" s="40"/>
      <c r="U65" s="40"/>
      <c r="V65" s="40"/>
      <c r="W65" s="40"/>
      <c r="X65" s="40">
        <v>0</v>
      </c>
      <c r="Z65" s="85">
        <v>53493</v>
      </c>
      <c r="AA65" s="40"/>
      <c r="AB65" s="40"/>
      <c r="AC65" s="40"/>
      <c r="AD65" s="40"/>
      <c r="AE65" s="40">
        <v>0</v>
      </c>
      <c r="AG65" s="85">
        <v>53493</v>
      </c>
      <c r="AH65" s="40"/>
      <c r="AI65" s="40"/>
      <c r="AJ65" s="40"/>
      <c r="AK65" s="40">
        <v>0</v>
      </c>
      <c r="AM65" s="85">
        <v>53493</v>
      </c>
      <c r="AN65" s="40"/>
      <c r="AO65" s="87">
        <v>0</v>
      </c>
      <c r="AP65" s="40"/>
      <c r="AQ65" s="40">
        <v>0</v>
      </c>
      <c r="AS65" s="85">
        <v>53493</v>
      </c>
      <c r="AT65" s="40"/>
      <c r="AU65" s="87"/>
      <c r="AV65" s="40"/>
      <c r="AW65" s="40"/>
      <c r="AX65" s="40">
        <f t="shared" si="5"/>
        <v>0</v>
      </c>
      <c r="AY65" s="67"/>
      <c r="AZ65" s="85">
        <v>53493</v>
      </c>
      <c r="BB65" s="40"/>
      <c r="BC65" s="87"/>
      <c r="BE65" s="40">
        <v>0</v>
      </c>
      <c r="BF65" s="67"/>
      <c r="BG65" s="85">
        <v>53493</v>
      </c>
      <c r="BH65" s="40"/>
      <c r="BI65" s="87"/>
      <c r="BJ65" s="40"/>
      <c r="BK65" s="40"/>
      <c r="BL65" s="40">
        <v>0</v>
      </c>
      <c r="BM65" s="67"/>
      <c r="BN65" s="85">
        <v>53493</v>
      </c>
      <c r="BO65" s="40"/>
      <c r="BP65" s="87"/>
      <c r="BQ65" s="40">
        <f t="shared" si="6"/>
        <v>0</v>
      </c>
      <c r="BR65" s="40">
        <f t="shared" si="7"/>
        <v>0</v>
      </c>
      <c r="BS65" s="67"/>
      <c r="BT65" s="85">
        <v>53493</v>
      </c>
      <c r="BU65" s="40"/>
      <c r="BV65" s="40"/>
      <c r="BW65" s="40"/>
      <c r="BX65" s="40"/>
      <c r="BY65" s="40">
        <f t="shared" si="8"/>
        <v>0</v>
      </c>
      <c r="BZ65" s="40"/>
      <c r="CA65" s="85">
        <v>53493</v>
      </c>
      <c r="CF65" s="40">
        <f t="shared" si="9"/>
        <v>0</v>
      </c>
      <c r="CG65" s="85"/>
      <c r="CH65" s="85">
        <v>53493</v>
      </c>
      <c r="CN65" s="85">
        <v>53493</v>
      </c>
      <c r="CR65" s="40">
        <v>0</v>
      </c>
      <c r="CT65" s="85">
        <v>53493</v>
      </c>
      <c r="CX65" s="40">
        <v>0</v>
      </c>
      <c r="CZ65" s="85">
        <v>53493</v>
      </c>
      <c r="DE65" s="40">
        <f t="shared" si="10"/>
        <v>0</v>
      </c>
      <c r="DG65" s="85">
        <v>53493</v>
      </c>
      <c r="DL65" s="40">
        <f t="shared" si="11"/>
        <v>0</v>
      </c>
      <c r="DN65" s="85">
        <v>53493</v>
      </c>
      <c r="DS65" s="40">
        <f t="shared" si="12"/>
        <v>0</v>
      </c>
      <c r="DU65" s="85">
        <v>53493</v>
      </c>
      <c r="DZ65" s="40">
        <f t="shared" si="13"/>
        <v>0</v>
      </c>
    </row>
    <row r="66" spans="2:130" x14ac:dyDescent="0.4">
      <c r="B66" s="85">
        <v>53692</v>
      </c>
      <c r="C66" s="85"/>
      <c r="D66" s="85">
        <v>53676</v>
      </c>
      <c r="E66" s="40">
        <f t="shared" si="0"/>
        <v>0</v>
      </c>
      <c r="F66" s="40">
        <f t="shared" si="1"/>
        <v>0</v>
      </c>
      <c r="G66" s="40">
        <f t="shared" si="2"/>
        <v>0</v>
      </c>
      <c r="H66" s="39">
        <v>0</v>
      </c>
      <c r="I66" s="40">
        <f t="shared" si="3"/>
        <v>0</v>
      </c>
      <c r="J66" s="40"/>
      <c r="L66" s="85">
        <v>53676</v>
      </c>
      <c r="M66" s="40"/>
      <c r="N66" s="40"/>
      <c r="O66" s="40"/>
      <c r="P66" s="40"/>
      <c r="Q66" s="40">
        <v>0</v>
      </c>
      <c r="S66" s="85">
        <v>53676</v>
      </c>
      <c r="T66" s="40"/>
      <c r="U66" s="40"/>
      <c r="V66" s="40"/>
      <c r="W66" s="40"/>
      <c r="X66" s="40">
        <v>0</v>
      </c>
      <c r="Z66" s="85">
        <v>53676</v>
      </c>
      <c r="AA66" s="40"/>
      <c r="AB66" s="40"/>
      <c r="AC66" s="40"/>
      <c r="AD66" s="40"/>
      <c r="AE66" s="40">
        <v>0</v>
      </c>
      <c r="AG66" s="85">
        <v>53676</v>
      </c>
      <c r="AH66" s="40"/>
      <c r="AI66" s="40"/>
      <c r="AJ66" s="40"/>
      <c r="AK66" s="40">
        <v>0</v>
      </c>
      <c r="AM66" s="85">
        <v>53676</v>
      </c>
      <c r="AN66" s="40"/>
      <c r="AO66" s="87">
        <v>0</v>
      </c>
      <c r="AP66" s="40"/>
      <c r="AQ66" s="40">
        <v>0</v>
      </c>
      <c r="AS66" s="85">
        <v>53676</v>
      </c>
      <c r="AT66" s="40"/>
      <c r="AU66" s="87"/>
      <c r="AV66" s="40"/>
      <c r="AW66" s="40"/>
      <c r="AX66" s="40">
        <f t="shared" si="5"/>
        <v>0</v>
      </c>
      <c r="AY66" s="67"/>
      <c r="AZ66" s="85">
        <v>53676</v>
      </c>
      <c r="BB66" s="40"/>
      <c r="BC66" s="87"/>
      <c r="BE66" s="40">
        <v>0</v>
      </c>
      <c r="BF66" s="67"/>
      <c r="BG66" s="85">
        <v>53676</v>
      </c>
      <c r="BH66" s="40"/>
      <c r="BI66" s="87"/>
      <c r="BJ66" s="40"/>
      <c r="BK66" s="40"/>
      <c r="BL66" s="40">
        <v>0</v>
      </c>
      <c r="BM66" s="67"/>
      <c r="BN66" s="85">
        <v>53676</v>
      </c>
      <c r="BO66" s="40"/>
      <c r="BP66" s="87"/>
      <c r="BQ66" s="40">
        <f t="shared" si="6"/>
        <v>0</v>
      </c>
      <c r="BR66" s="40">
        <f t="shared" si="7"/>
        <v>0</v>
      </c>
      <c r="BS66" s="67"/>
      <c r="BT66" s="85">
        <v>53676</v>
      </c>
      <c r="BU66" s="40"/>
      <c r="BV66" s="40"/>
      <c r="BW66" s="40"/>
      <c r="BX66" s="40"/>
      <c r="BY66" s="40">
        <f t="shared" si="8"/>
        <v>0</v>
      </c>
      <c r="BZ66" s="40"/>
      <c r="CA66" s="85">
        <v>53676</v>
      </c>
      <c r="CB66" s="40"/>
      <c r="CC66" s="40"/>
      <c r="CD66" s="40"/>
      <c r="CE66" s="40"/>
      <c r="CF66" s="40">
        <f t="shared" si="9"/>
        <v>0</v>
      </c>
      <c r="CG66" s="85"/>
      <c r="CH66" s="85">
        <v>53676</v>
      </c>
      <c r="CM66" s="67"/>
      <c r="CN66" s="85">
        <v>53676</v>
      </c>
      <c r="CR66" s="40">
        <v>0</v>
      </c>
      <c r="CS66" s="67"/>
      <c r="CT66" s="85">
        <v>53676</v>
      </c>
      <c r="CX66" s="40">
        <v>0</v>
      </c>
      <c r="CY66" s="67"/>
      <c r="CZ66" s="85">
        <v>53676</v>
      </c>
      <c r="DE66" s="40">
        <f t="shared" si="10"/>
        <v>0</v>
      </c>
      <c r="DF66" s="67"/>
      <c r="DG66" s="85">
        <v>53676</v>
      </c>
      <c r="DL66" s="40">
        <f t="shared" si="11"/>
        <v>0</v>
      </c>
      <c r="DM66" s="67"/>
      <c r="DN66" s="85">
        <v>53676</v>
      </c>
      <c r="DS66" s="40">
        <f t="shared" si="12"/>
        <v>0</v>
      </c>
      <c r="DT66" s="67"/>
      <c r="DU66" s="85">
        <v>53676</v>
      </c>
      <c r="DZ66" s="40">
        <f t="shared" si="13"/>
        <v>0</v>
      </c>
    </row>
    <row r="67" spans="2:130" x14ac:dyDescent="0.4">
      <c r="B67" s="85">
        <v>53873</v>
      </c>
      <c r="C67" s="85"/>
      <c r="D67" s="85">
        <v>53858</v>
      </c>
      <c r="E67" s="40">
        <f t="shared" si="0"/>
        <v>0</v>
      </c>
      <c r="F67" s="40">
        <f t="shared" si="1"/>
        <v>0</v>
      </c>
      <c r="G67" s="40">
        <f t="shared" si="2"/>
        <v>0</v>
      </c>
      <c r="H67" s="39">
        <v>0</v>
      </c>
      <c r="I67" s="40">
        <f t="shared" si="3"/>
        <v>0</v>
      </c>
      <c r="J67" s="40">
        <f>SUM(I66:I67)</f>
        <v>0</v>
      </c>
      <c r="L67" s="85">
        <v>53858</v>
      </c>
      <c r="M67" s="40"/>
      <c r="N67" s="40"/>
      <c r="O67" s="40"/>
      <c r="P67" s="40"/>
      <c r="Q67" s="40">
        <v>0</v>
      </c>
      <c r="S67" s="85">
        <v>53858</v>
      </c>
      <c r="T67" s="40"/>
      <c r="U67" s="40"/>
      <c r="V67" s="40"/>
      <c r="W67" s="40"/>
      <c r="X67" s="40">
        <v>0</v>
      </c>
      <c r="Z67" s="85">
        <v>53858</v>
      </c>
      <c r="AA67" s="40"/>
      <c r="AB67" s="40"/>
      <c r="AC67" s="40"/>
      <c r="AD67" s="40"/>
      <c r="AE67" s="40">
        <v>0</v>
      </c>
      <c r="AG67" s="85">
        <v>53858</v>
      </c>
      <c r="AH67" s="40"/>
      <c r="AI67" s="40"/>
      <c r="AJ67" s="40"/>
      <c r="AK67" s="40">
        <v>0</v>
      </c>
      <c r="AM67" s="85">
        <v>53858</v>
      </c>
      <c r="AN67" s="40"/>
      <c r="AO67" s="87">
        <v>0</v>
      </c>
      <c r="AP67" s="40"/>
      <c r="AQ67" s="40">
        <v>0</v>
      </c>
      <c r="AS67" s="85">
        <v>53858</v>
      </c>
      <c r="AT67" s="40"/>
      <c r="AU67" s="87"/>
      <c r="AV67" s="40"/>
      <c r="AW67" s="40"/>
      <c r="AX67" s="40">
        <f t="shared" si="5"/>
        <v>0</v>
      </c>
      <c r="AY67" s="67"/>
      <c r="AZ67" s="85">
        <v>53858</v>
      </c>
      <c r="BB67" s="40"/>
      <c r="BC67" s="87"/>
      <c r="BE67" s="40">
        <v>0</v>
      </c>
      <c r="BF67" s="67"/>
      <c r="BG67" s="85">
        <v>53858</v>
      </c>
      <c r="BH67" s="40"/>
      <c r="BI67" s="87"/>
      <c r="BJ67" s="40"/>
      <c r="BK67" s="40"/>
      <c r="BL67" s="40">
        <v>0</v>
      </c>
      <c r="BM67" s="67"/>
      <c r="BN67" s="85">
        <v>53858</v>
      </c>
      <c r="BO67" s="40"/>
      <c r="BP67" s="87"/>
      <c r="BQ67" s="40">
        <f t="shared" si="6"/>
        <v>0</v>
      </c>
      <c r="BR67" s="40">
        <f t="shared" si="7"/>
        <v>0</v>
      </c>
      <c r="BS67" s="67"/>
      <c r="BT67" s="85">
        <v>53858</v>
      </c>
      <c r="BU67" s="40"/>
      <c r="BV67" s="40"/>
      <c r="BW67" s="40"/>
      <c r="BX67" s="40"/>
      <c r="BY67" s="40">
        <f t="shared" si="8"/>
        <v>0</v>
      </c>
      <c r="BZ67" s="40"/>
      <c r="CA67" s="85">
        <v>53858</v>
      </c>
      <c r="CB67" s="40"/>
      <c r="CC67" s="40"/>
      <c r="CD67" s="40"/>
      <c r="CE67" s="40"/>
      <c r="CF67" s="40">
        <f t="shared" si="9"/>
        <v>0</v>
      </c>
      <c r="CG67" s="85"/>
      <c r="CH67" s="85">
        <v>53858</v>
      </c>
      <c r="CM67" s="67"/>
      <c r="CN67" s="85">
        <v>53858</v>
      </c>
      <c r="CR67" s="40">
        <v>0</v>
      </c>
      <c r="CS67" s="67"/>
      <c r="CT67" s="85">
        <v>53858</v>
      </c>
      <c r="CX67" s="40">
        <v>0</v>
      </c>
      <c r="CY67" s="67"/>
      <c r="CZ67" s="85">
        <v>53858</v>
      </c>
      <c r="DE67" s="40">
        <f t="shared" si="10"/>
        <v>0</v>
      </c>
      <c r="DF67" s="67"/>
      <c r="DG67" s="85">
        <v>53858</v>
      </c>
      <c r="DL67" s="40">
        <f t="shared" si="11"/>
        <v>0</v>
      </c>
      <c r="DM67" s="67"/>
      <c r="DN67" s="85">
        <v>53858</v>
      </c>
      <c r="DS67" s="40">
        <f t="shared" si="12"/>
        <v>0</v>
      </c>
      <c r="DT67" s="67"/>
      <c r="DU67" s="85">
        <v>53858</v>
      </c>
      <c r="DZ67" s="40">
        <f t="shared" si="13"/>
        <v>0</v>
      </c>
    </row>
    <row r="68" spans="2:130" x14ac:dyDescent="0.4">
      <c r="B68" s="85">
        <v>54057</v>
      </c>
      <c r="C68" s="85"/>
      <c r="D68" s="85">
        <v>54041</v>
      </c>
      <c r="E68" s="40">
        <f t="shared" si="0"/>
        <v>0</v>
      </c>
      <c r="F68" s="40">
        <f t="shared" si="1"/>
        <v>0</v>
      </c>
      <c r="G68" s="40">
        <f t="shared" si="2"/>
        <v>0</v>
      </c>
      <c r="H68" s="39">
        <v>0</v>
      </c>
      <c r="I68" s="40">
        <f t="shared" si="3"/>
        <v>0</v>
      </c>
      <c r="J68" s="40"/>
      <c r="L68" s="85">
        <v>54041</v>
      </c>
      <c r="M68" s="40"/>
      <c r="N68" s="40"/>
      <c r="O68" s="40"/>
      <c r="P68" s="40"/>
      <c r="Q68" s="40">
        <v>0</v>
      </c>
      <c r="S68" s="85">
        <v>54041</v>
      </c>
      <c r="T68" s="40"/>
      <c r="U68" s="40"/>
      <c r="V68" s="40"/>
      <c r="W68" s="40"/>
      <c r="X68" s="40">
        <v>0</v>
      </c>
      <c r="Z68" s="85">
        <v>54041</v>
      </c>
      <c r="AA68" s="40"/>
      <c r="AB68" s="40"/>
      <c r="AC68" s="40"/>
      <c r="AD68" s="40"/>
      <c r="AE68" s="40">
        <v>0</v>
      </c>
      <c r="AG68" s="85">
        <v>54041</v>
      </c>
      <c r="AH68" s="40"/>
      <c r="AI68" s="40"/>
      <c r="AJ68" s="40"/>
      <c r="AK68" s="40">
        <v>0</v>
      </c>
      <c r="AM68" s="85">
        <v>54041</v>
      </c>
      <c r="AN68" s="40"/>
      <c r="AO68" s="87">
        <v>0</v>
      </c>
      <c r="AP68" s="40"/>
      <c r="AQ68" s="40">
        <v>0</v>
      </c>
      <c r="AS68" s="85">
        <v>54041</v>
      </c>
      <c r="AT68" s="40"/>
      <c r="AU68" s="87"/>
      <c r="AV68" s="40"/>
      <c r="AW68" s="40"/>
      <c r="AX68" s="40">
        <f t="shared" si="5"/>
        <v>0</v>
      </c>
      <c r="AY68" s="67"/>
      <c r="AZ68" s="85">
        <v>54041</v>
      </c>
      <c r="BB68" s="40"/>
      <c r="BC68" s="87"/>
      <c r="BE68" s="40">
        <v>0</v>
      </c>
      <c r="BF68" s="67"/>
      <c r="BG68" s="85">
        <v>54041</v>
      </c>
      <c r="BH68" s="40"/>
      <c r="BI68" s="87"/>
      <c r="BJ68" s="40"/>
      <c r="BK68" s="40"/>
      <c r="BL68" s="40">
        <v>0</v>
      </c>
      <c r="BM68" s="67"/>
      <c r="BN68" s="85">
        <v>54041</v>
      </c>
      <c r="BO68" s="40"/>
      <c r="BP68" s="87"/>
      <c r="BQ68" s="40">
        <f t="shared" si="6"/>
        <v>0</v>
      </c>
      <c r="BR68" s="40">
        <f t="shared" si="7"/>
        <v>0</v>
      </c>
      <c r="BS68" s="67"/>
      <c r="BT68" s="85">
        <v>54041</v>
      </c>
      <c r="BU68" s="40"/>
      <c r="BV68" s="40"/>
      <c r="BW68" s="40"/>
      <c r="BX68" s="40"/>
      <c r="BY68" s="40">
        <f t="shared" si="8"/>
        <v>0</v>
      </c>
      <c r="BZ68" s="40"/>
      <c r="CA68" s="85">
        <v>54041</v>
      </c>
      <c r="CB68" s="40"/>
      <c r="CC68" s="40"/>
      <c r="CD68" s="40"/>
      <c r="CE68" s="40"/>
      <c r="CF68" s="40">
        <f t="shared" si="9"/>
        <v>0</v>
      </c>
      <c r="CG68" s="85"/>
      <c r="CH68" s="85">
        <v>54041</v>
      </c>
      <c r="CM68" s="67"/>
      <c r="CN68" s="85">
        <v>54041</v>
      </c>
      <c r="CR68" s="40">
        <v>0</v>
      </c>
      <c r="CS68" s="67"/>
      <c r="CT68" s="85">
        <v>54041</v>
      </c>
      <c r="CX68" s="40">
        <v>0</v>
      </c>
      <c r="CY68" s="67"/>
      <c r="CZ68" s="85">
        <v>54041</v>
      </c>
      <c r="DE68" s="40">
        <f t="shared" si="10"/>
        <v>0</v>
      </c>
      <c r="DF68" s="67"/>
      <c r="DG68" s="85">
        <v>54041</v>
      </c>
      <c r="DL68" s="40">
        <f t="shared" si="11"/>
        <v>0</v>
      </c>
      <c r="DM68" s="67"/>
      <c r="DN68" s="85">
        <v>54041</v>
      </c>
      <c r="DS68" s="40">
        <f t="shared" si="12"/>
        <v>0</v>
      </c>
      <c r="DT68" s="67"/>
      <c r="DU68" s="85">
        <v>54041</v>
      </c>
      <c r="DZ68" s="40">
        <f t="shared" si="13"/>
        <v>0</v>
      </c>
    </row>
    <row r="69" spans="2:130" x14ac:dyDescent="0.4">
      <c r="B69" s="85">
        <v>54239</v>
      </c>
      <c r="C69" s="85"/>
      <c r="D69" s="85">
        <v>54224</v>
      </c>
      <c r="E69" s="40">
        <f t="shared" si="0"/>
        <v>0</v>
      </c>
      <c r="F69" s="40">
        <f t="shared" si="1"/>
        <v>0</v>
      </c>
      <c r="G69" s="40">
        <f t="shared" si="2"/>
        <v>0</v>
      </c>
      <c r="H69" s="39">
        <v>0</v>
      </c>
      <c r="I69" s="40">
        <f t="shared" si="3"/>
        <v>0</v>
      </c>
      <c r="J69" s="40">
        <f>SUM(I68:I69)</f>
        <v>0</v>
      </c>
      <c r="L69" s="85">
        <v>54224</v>
      </c>
      <c r="M69" s="40"/>
      <c r="N69" s="40"/>
      <c r="O69" s="40"/>
      <c r="P69" s="40"/>
      <c r="Q69" s="40">
        <v>0</v>
      </c>
      <c r="S69" s="85">
        <v>54224</v>
      </c>
      <c r="T69" s="40"/>
      <c r="U69" s="40"/>
      <c r="V69" s="40"/>
      <c r="W69" s="40"/>
      <c r="X69" s="40">
        <v>0</v>
      </c>
      <c r="Z69" s="85">
        <v>54224</v>
      </c>
      <c r="AA69" s="40"/>
      <c r="AB69" s="40"/>
      <c r="AC69" s="40"/>
      <c r="AD69" s="40"/>
      <c r="AE69" s="40">
        <v>0</v>
      </c>
      <c r="AG69" s="85">
        <v>54224</v>
      </c>
      <c r="AH69" s="40"/>
      <c r="AI69" s="40"/>
      <c r="AJ69" s="40"/>
      <c r="AK69" s="40">
        <v>0</v>
      </c>
      <c r="AM69" s="85">
        <v>54224</v>
      </c>
      <c r="AN69" s="40"/>
      <c r="AO69" s="87">
        <v>0</v>
      </c>
      <c r="AP69" s="40"/>
      <c r="AQ69" s="40">
        <v>0</v>
      </c>
      <c r="AS69" s="85">
        <v>54224</v>
      </c>
      <c r="AT69" s="40"/>
      <c r="AU69" s="87"/>
      <c r="AV69" s="40"/>
      <c r="AW69" s="40"/>
      <c r="AX69" s="40">
        <f t="shared" si="5"/>
        <v>0</v>
      </c>
      <c r="AY69" s="67"/>
      <c r="AZ69" s="85">
        <v>54224</v>
      </c>
      <c r="BB69" s="40"/>
      <c r="BC69" s="87"/>
      <c r="BE69" s="40">
        <v>0</v>
      </c>
      <c r="BF69" s="67"/>
      <c r="BG69" s="85">
        <v>54224</v>
      </c>
      <c r="BH69" s="40"/>
      <c r="BI69" s="87"/>
      <c r="BJ69" s="40"/>
      <c r="BK69" s="40"/>
      <c r="BL69" s="40">
        <v>0</v>
      </c>
      <c r="BM69" s="67"/>
      <c r="BN69" s="85">
        <v>54224</v>
      </c>
      <c r="BO69" s="40"/>
      <c r="BP69" s="87"/>
      <c r="BQ69" s="40">
        <f t="shared" si="6"/>
        <v>0</v>
      </c>
      <c r="BR69" s="40">
        <f t="shared" si="7"/>
        <v>0</v>
      </c>
      <c r="BS69" s="67"/>
      <c r="BT69" s="85">
        <v>54224</v>
      </c>
      <c r="BU69" s="40"/>
      <c r="BV69" s="40"/>
      <c r="BW69" s="40"/>
      <c r="BX69" s="40"/>
      <c r="BY69" s="40">
        <f t="shared" si="8"/>
        <v>0</v>
      </c>
      <c r="BZ69" s="40"/>
      <c r="CA69" s="85">
        <v>54224</v>
      </c>
      <c r="CB69" s="40"/>
      <c r="CC69" s="40"/>
      <c r="CD69" s="40"/>
      <c r="CE69" s="40"/>
      <c r="CF69" s="40">
        <f t="shared" si="9"/>
        <v>0</v>
      </c>
      <c r="CG69" s="85"/>
      <c r="CH69" s="85">
        <v>54224</v>
      </c>
      <c r="CM69" s="67"/>
      <c r="CN69" s="85">
        <v>54224</v>
      </c>
      <c r="CR69" s="40">
        <v>0</v>
      </c>
      <c r="CS69" s="67"/>
      <c r="CT69" s="85">
        <v>54224</v>
      </c>
      <c r="CX69" s="40">
        <v>0</v>
      </c>
      <c r="CY69" s="67"/>
      <c r="CZ69" s="85">
        <v>54224</v>
      </c>
      <c r="DE69" s="40">
        <f t="shared" si="10"/>
        <v>0</v>
      </c>
      <c r="DF69" s="67"/>
      <c r="DG69" s="85">
        <v>54224</v>
      </c>
      <c r="DL69" s="40">
        <f t="shared" si="11"/>
        <v>0</v>
      </c>
      <c r="DM69" s="67"/>
      <c r="DN69" s="85">
        <v>54224</v>
      </c>
      <c r="DS69" s="40">
        <f t="shared" si="12"/>
        <v>0</v>
      </c>
      <c r="DT69" s="67"/>
      <c r="DU69" s="85">
        <v>54224</v>
      </c>
      <c r="DZ69" s="40">
        <f t="shared" si="13"/>
        <v>0</v>
      </c>
    </row>
    <row r="70" spans="2:130" x14ac:dyDescent="0.4">
      <c r="B70" s="85">
        <v>54423</v>
      </c>
      <c r="C70" s="85"/>
      <c r="D70" s="85">
        <v>54407</v>
      </c>
      <c r="E70" s="40">
        <f t="shared" si="0"/>
        <v>0</v>
      </c>
      <c r="F70" s="40">
        <f t="shared" si="1"/>
        <v>0</v>
      </c>
      <c r="G70" s="40">
        <f t="shared" si="2"/>
        <v>0</v>
      </c>
      <c r="H70" s="39">
        <v>0</v>
      </c>
      <c r="I70" s="40">
        <f t="shared" si="3"/>
        <v>0</v>
      </c>
      <c r="J70" s="40"/>
      <c r="L70" s="85">
        <v>54407</v>
      </c>
      <c r="M70" s="40"/>
      <c r="N70" s="40"/>
      <c r="O70" s="40"/>
      <c r="P70" s="40"/>
      <c r="Q70" s="40">
        <v>0</v>
      </c>
      <c r="S70" s="85">
        <v>54407</v>
      </c>
      <c r="T70" s="40"/>
      <c r="U70" s="40"/>
      <c r="V70" s="40"/>
      <c r="W70" s="40"/>
      <c r="X70" s="40">
        <v>0</v>
      </c>
      <c r="Z70" s="85">
        <v>54407</v>
      </c>
      <c r="AA70" s="40"/>
      <c r="AB70" s="40"/>
      <c r="AC70" s="40"/>
      <c r="AD70" s="40"/>
      <c r="AE70" s="40">
        <v>0</v>
      </c>
      <c r="AG70" s="85">
        <v>54407</v>
      </c>
      <c r="AH70" s="40"/>
      <c r="AI70" s="40"/>
      <c r="AJ70" s="40"/>
      <c r="AK70" s="40">
        <v>0</v>
      </c>
      <c r="AM70" s="85">
        <v>54407</v>
      </c>
      <c r="AN70" s="40"/>
      <c r="AO70" s="87">
        <v>0</v>
      </c>
      <c r="AP70" s="40"/>
      <c r="AQ70" s="40">
        <v>0</v>
      </c>
      <c r="AS70" s="85">
        <v>54407</v>
      </c>
      <c r="AT70" s="40"/>
      <c r="AU70" s="87"/>
      <c r="AV70" s="40"/>
      <c r="AW70" s="40"/>
      <c r="AX70" s="40">
        <f t="shared" si="5"/>
        <v>0</v>
      </c>
      <c r="AY70" s="67"/>
      <c r="AZ70" s="85">
        <v>54407</v>
      </c>
      <c r="BB70" s="40"/>
      <c r="BC70" s="87"/>
      <c r="BE70" s="40">
        <v>0</v>
      </c>
      <c r="BF70" s="67"/>
      <c r="BG70" s="85">
        <v>54407</v>
      </c>
      <c r="BH70" s="40"/>
      <c r="BI70" s="87"/>
      <c r="BJ70" s="40"/>
      <c r="BK70" s="40"/>
      <c r="BL70" s="40">
        <v>0</v>
      </c>
      <c r="BM70" s="67"/>
      <c r="BN70" s="85">
        <v>54407</v>
      </c>
      <c r="BO70" s="40"/>
      <c r="BP70" s="87"/>
      <c r="BQ70" s="40">
        <f t="shared" si="6"/>
        <v>0</v>
      </c>
      <c r="BR70" s="40">
        <f t="shared" si="7"/>
        <v>0</v>
      </c>
      <c r="BS70" s="67"/>
      <c r="BT70" s="85">
        <v>54407</v>
      </c>
      <c r="BU70" s="40"/>
      <c r="BV70" s="40"/>
      <c r="BW70" s="40"/>
      <c r="BX70" s="40"/>
      <c r="BY70" s="40">
        <f t="shared" si="8"/>
        <v>0</v>
      </c>
      <c r="BZ70" s="40"/>
      <c r="CA70" s="85">
        <v>54407</v>
      </c>
      <c r="CB70" s="40"/>
      <c r="CC70" s="40"/>
      <c r="CD70" s="40"/>
      <c r="CE70" s="40"/>
      <c r="CF70" s="40">
        <f t="shared" si="9"/>
        <v>0</v>
      </c>
      <c r="CG70" s="85"/>
      <c r="CH70" s="85">
        <v>54407</v>
      </c>
      <c r="CM70" s="67"/>
      <c r="CN70" s="85">
        <v>54407</v>
      </c>
      <c r="CR70" s="40">
        <v>0</v>
      </c>
      <c r="CS70" s="67"/>
      <c r="CT70" s="85">
        <v>54407</v>
      </c>
      <c r="CX70" s="40">
        <v>0</v>
      </c>
      <c r="CY70" s="67"/>
      <c r="CZ70" s="85">
        <v>54407</v>
      </c>
      <c r="DE70" s="40">
        <f t="shared" si="10"/>
        <v>0</v>
      </c>
      <c r="DF70" s="67"/>
      <c r="DG70" s="85">
        <v>54407</v>
      </c>
      <c r="DL70" s="40">
        <f t="shared" si="11"/>
        <v>0</v>
      </c>
      <c r="DM70" s="67"/>
      <c r="DN70" s="85">
        <v>54407</v>
      </c>
      <c r="DS70" s="40">
        <f t="shared" si="12"/>
        <v>0</v>
      </c>
      <c r="DT70" s="67"/>
      <c r="DU70" s="85">
        <v>54407</v>
      </c>
      <c r="DV70" s="67"/>
      <c r="DW70" s="67"/>
      <c r="DX70" s="67"/>
      <c r="DY70" s="67"/>
      <c r="DZ70" s="40">
        <f t="shared" si="13"/>
        <v>0</v>
      </c>
    </row>
    <row r="71" spans="2:130" x14ac:dyDescent="0.4">
      <c r="B71" s="85">
        <v>54604</v>
      </c>
      <c r="C71" s="85"/>
      <c r="D71" s="85">
        <v>54589</v>
      </c>
      <c r="E71" s="40">
        <f t="shared" si="0"/>
        <v>0</v>
      </c>
      <c r="F71" s="40">
        <f t="shared" si="1"/>
        <v>0</v>
      </c>
      <c r="G71" s="40">
        <f t="shared" si="2"/>
        <v>0</v>
      </c>
      <c r="H71" s="39">
        <v>0</v>
      </c>
      <c r="I71" s="40">
        <f t="shared" si="3"/>
        <v>0</v>
      </c>
      <c r="J71" s="40">
        <f>SUM(I70:I71)</f>
        <v>0</v>
      </c>
      <c r="L71" s="85">
        <v>54589</v>
      </c>
      <c r="M71" s="40"/>
      <c r="N71" s="40"/>
      <c r="O71" s="40"/>
      <c r="P71" s="40"/>
      <c r="Q71" s="40">
        <v>0</v>
      </c>
      <c r="S71" s="85">
        <v>54589</v>
      </c>
      <c r="T71" s="40"/>
      <c r="U71" s="40"/>
      <c r="V71" s="40"/>
      <c r="W71" s="40"/>
      <c r="X71" s="40">
        <v>0</v>
      </c>
      <c r="Z71" s="85">
        <v>54589</v>
      </c>
      <c r="AA71" s="40"/>
      <c r="AB71" s="40"/>
      <c r="AC71" s="40"/>
      <c r="AD71" s="40"/>
      <c r="AE71" s="40">
        <v>0</v>
      </c>
      <c r="AG71" s="85">
        <v>54589</v>
      </c>
      <c r="AH71" s="40"/>
      <c r="AI71" s="40"/>
      <c r="AJ71" s="40"/>
      <c r="AK71" s="40">
        <v>0</v>
      </c>
      <c r="AM71" s="85">
        <v>54589</v>
      </c>
      <c r="AN71" s="40"/>
      <c r="AO71" s="87">
        <v>0</v>
      </c>
      <c r="AP71" s="40"/>
      <c r="AQ71" s="40">
        <v>0</v>
      </c>
      <c r="AS71" s="85">
        <v>54589</v>
      </c>
      <c r="AT71" s="40"/>
      <c r="AU71" s="87"/>
      <c r="AV71" s="40"/>
      <c r="AW71" s="40"/>
      <c r="AX71" s="40">
        <f t="shared" si="5"/>
        <v>0</v>
      </c>
      <c r="AY71" s="67"/>
      <c r="AZ71" s="85">
        <v>54589</v>
      </c>
      <c r="BA71" s="67"/>
      <c r="BB71" s="40"/>
      <c r="BC71" s="94"/>
      <c r="BD71" s="67"/>
      <c r="BE71" s="40">
        <v>0</v>
      </c>
      <c r="BF71" s="67"/>
      <c r="BG71" s="85">
        <v>54589</v>
      </c>
      <c r="BH71" s="40"/>
      <c r="BI71" s="87"/>
      <c r="BJ71" s="40"/>
      <c r="BK71" s="40"/>
      <c r="BL71" s="40">
        <v>0</v>
      </c>
      <c r="BM71" s="67"/>
      <c r="BN71" s="85">
        <v>54589</v>
      </c>
      <c r="BO71" s="40"/>
      <c r="BP71" s="87"/>
      <c r="BQ71" s="40">
        <f t="shared" si="6"/>
        <v>0</v>
      </c>
      <c r="BR71" s="40">
        <f t="shared" si="7"/>
        <v>0</v>
      </c>
      <c r="BS71" s="67"/>
      <c r="BT71" s="85">
        <v>54589</v>
      </c>
      <c r="BU71" s="67"/>
      <c r="BV71" s="67"/>
      <c r="BW71" s="67"/>
      <c r="BX71" s="67"/>
      <c r="BY71" s="40">
        <f t="shared" si="8"/>
        <v>0</v>
      </c>
      <c r="BZ71" s="73"/>
      <c r="CA71" s="85">
        <v>54589</v>
      </c>
      <c r="CB71" s="67"/>
      <c r="CC71" s="67"/>
      <c r="CD71" s="67"/>
      <c r="CE71" s="67"/>
      <c r="CF71" s="40">
        <f t="shared" si="9"/>
        <v>0</v>
      </c>
      <c r="CG71" s="85"/>
      <c r="CH71" s="85">
        <v>54589</v>
      </c>
      <c r="CI71" s="67"/>
      <c r="CJ71" s="67"/>
      <c r="CK71" s="67"/>
      <c r="CL71" s="67"/>
      <c r="CM71" s="67"/>
      <c r="CN71" s="85">
        <v>54589</v>
      </c>
      <c r="CO71" s="67"/>
      <c r="CP71" s="67"/>
      <c r="CQ71" s="67"/>
      <c r="CR71" s="40">
        <v>0</v>
      </c>
      <c r="CS71" s="67"/>
      <c r="CT71" s="85">
        <v>54589</v>
      </c>
      <c r="CU71" s="67"/>
      <c r="CV71" s="67"/>
      <c r="CW71" s="67"/>
      <c r="CX71" s="40">
        <v>0</v>
      </c>
      <c r="CY71" s="67"/>
      <c r="CZ71" s="85">
        <v>54589</v>
      </c>
      <c r="DA71" s="67"/>
      <c r="DB71" s="67"/>
      <c r="DC71" s="67"/>
      <c r="DD71" s="67"/>
      <c r="DE71" s="40">
        <f t="shared" si="10"/>
        <v>0</v>
      </c>
      <c r="DF71" s="67"/>
      <c r="DG71" s="85">
        <v>54589</v>
      </c>
      <c r="DH71" s="67"/>
      <c r="DI71" s="67"/>
      <c r="DJ71" s="67"/>
      <c r="DK71" s="67"/>
      <c r="DL71" s="40">
        <f t="shared" si="11"/>
        <v>0</v>
      </c>
      <c r="DM71" s="67"/>
      <c r="DN71" s="85">
        <v>54589</v>
      </c>
      <c r="DO71" s="67"/>
      <c r="DP71" s="67"/>
      <c r="DQ71" s="67"/>
      <c r="DR71" s="67"/>
      <c r="DS71" s="40">
        <f t="shared" si="12"/>
        <v>0</v>
      </c>
      <c r="DT71" s="67"/>
      <c r="DU71" s="85">
        <v>54589</v>
      </c>
      <c r="DV71" s="67"/>
      <c r="DW71" s="67"/>
      <c r="DX71" s="67"/>
      <c r="DY71" s="67"/>
      <c r="DZ71" s="40">
        <f t="shared" si="13"/>
        <v>0</v>
      </c>
    </row>
    <row r="72" spans="2:130" x14ac:dyDescent="0.4">
      <c r="B72" s="85">
        <v>54788</v>
      </c>
      <c r="C72" s="85"/>
      <c r="D72" s="85">
        <v>54772</v>
      </c>
      <c r="E72" s="40">
        <f t="shared" si="0"/>
        <v>0</v>
      </c>
      <c r="F72" s="40">
        <f t="shared" si="1"/>
        <v>0</v>
      </c>
      <c r="G72" s="40">
        <f t="shared" si="2"/>
        <v>0</v>
      </c>
      <c r="H72" s="39">
        <v>0</v>
      </c>
      <c r="I72" s="40">
        <f t="shared" si="3"/>
        <v>0</v>
      </c>
      <c r="J72" s="40"/>
      <c r="L72" s="85">
        <v>54772</v>
      </c>
      <c r="M72" s="40"/>
      <c r="N72" s="40"/>
      <c r="O72" s="40"/>
      <c r="P72" s="40"/>
      <c r="Q72" s="40">
        <v>0</v>
      </c>
      <c r="S72" s="85">
        <v>54772</v>
      </c>
      <c r="T72" s="40"/>
      <c r="U72" s="40"/>
      <c r="V72" s="40"/>
      <c r="W72" s="40"/>
      <c r="X72" s="40">
        <v>0</v>
      </c>
      <c r="Z72" s="85">
        <v>54772</v>
      </c>
      <c r="AA72" s="40"/>
      <c r="AB72" s="40"/>
      <c r="AC72" s="40"/>
      <c r="AD72" s="40"/>
      <c r="AE72" s="40">
        <v>0</v>
      </c>
      <c r="AG72" s="85">
        <v>54772</v>
      </c>
      <c r="AH72" s="40"/>
      <c r="AI72" s="40"/>
      <c r="AJ72" s="40"/>
      <c r="AK72" s="40">
        <v>0</v>
      </c>
      <c r="AM72" s="85">
        <v>54772</v>
      </c>
      <c r="AN72" s="40"/>
      <c r="AO72" s="87">
        <v>0</v>
      </c>
      <c r="AP72" s="40"/>
      <c r="AQ72" s="40">
        <v>0</v>
      </c>
      <c r="AS72" s="85">
        <v>54772</v>
      </c>
      <c r="AT72" s="40"/>
      <c r="AU72" s="87"/>
      <c r="AV72" s="40"/>
      <c r="AW72" s="40"/>
      <c r="AX72" s="40">
        <f t="shared" ref="AX72:AX93" si="14">SUM(AT72,AV72,AW72)</f>
        <v>0</v>
      </c>
      <c r="AZ72" s="85">
        <v>54772</v>
      </c>
      <c r="BB72" s="40"/>
      <c r="BC72" s="87"/>
      <c r="BE72" s="40">
        <v>0</v>
      </c>
      <c r="BG72" s="85">
        <v>54772</v>
      </c>
      <c r="BH72" s="40"/>
      <c r="BI72" s="87"/>
      <c r="BJ72" s="40"/>
      <c r="BK72" s="40"/>
      <c r="BL72" s="40">
        <v>0</v>
      </c>
      <c r="BN72" s="85">
        <v>54772</v>
      </c>
      <c r="BO72" s="40"/>
      <c r="BP72" s="87"/>
      <c r="BQ72" s="40">
        <f>BO72*BP72/2+BQ73</f>
        <v>0</v>
      </c>
      <c r="BR72" s="40">
        <f t="shared" si="7"/>
        <v>0</v>
      </c>
      <c r="BT72" s="85">
        <v>54772</v>
      </c>
      <c r="BY72" s="40">
        <f t="shared" si="8"/>
        <v>0</v>
      </c>
      <c r="CA72" s="85">
        <v>54772</v>
      </c>
      <c r="CF72" s="40">
        <f t="shared" ref="CF72:CF93" si="15">SUM(CB72,CD72,CE72)</f>
        <v>0</v>
      </c>
      <c r="CG72" s="85"/>
      <c r="CH72" s="85">
        <v>54772</v>
      </c>
      <c r="CI72" s="67"/>
      <c r="CJ72" s="67"/>
      <c r="CK72" s="67"/>
      <c r="CL72" s="67"/>
      <c r="CN72" s="85">
        <v>54772</v>
      </c>
      <c r="CO72" s="67"/>
      <c r="CP72" s="67"/>
      <c r="CQ72" s="67"/>
      <c r="CR72" s="40">
        <v>0</v>
      </c>
      <c r="CT72" s="85">
        <v>54772</v>
      </c>
      <c r="CU72" s="67"/>
      <c r="CV72" s="67"/>
      <c r="CW72" s="67"/>
      <c r="CX72" s="40">
        <v>0</v>
      </c>
      <c r="CZ72" s="85">
        <v>54772</v>
      </c>
      <c r="DA72" s="67"/>
      <c r="DB72" s="67"/>
      <c r="DC72" s="67"/>
      <c r="DD72" s="67"/>
      <c r="DE72" s="40">
        <f t="shared" si="10"/>
        <v>0</v>
      </c>
      <c r="DG72" s="85">
        <v>54772</v>
      </c>
      <c r="DH72" s="67"/>
      <c r="DI72" s="67"/>
      <c r="DJ72" s="67"/>
      <c r="DK72" s="67"/>
      <c r="DL72" s="40">
        <f t="shared" si="11"/>
        <v>0</v>
      </c>
      <c r="DN72" s="85">
        <v>54772</v>
      </c>
      <c r="DO72" s="67"/>
      <c r="DP72" s="67"/>
      <c r="DQ72" s="67"/>
      <c r="DR72" s="67"/>
      <c r="DS72" s="40">
        <f t="shared" si="12"/>
        <v>0</v>
      </c>
      <c r="DU72" s="85">
        <v>54772</v>
      </c>
      <c r="DV72" s="67"/>
      <c r="DW72" s="67"/>
      <c r="DX72" s="67"/>
      <c r="DY72" s="67"/>
      <c r="DZ72" s="40">
        <f t="shared" si="13"/>
        <v>0</v>
      </c>
    </row>
    <row r="73" spans="2:130" x14ac:dyDescent="0.4">
      <c r="B73" s="85">
        <v>54969</v>
      </c>
      <c r="C73" s="85"/>
      <c r="D73" s="85">
        <v>54954</v>
      </c>
      <c r="E73" s="40">
        <f t="shared" ref="E73:E93" si="16">SUM(AA73,AH73,AN73,AT73,BA73,BH73,BO73,BU73,CB73,CI73,CO73,CU73,DA73,DH73,DO73,DV73)</f>
        <v>0</v>
      </c>
      <c r="F73" s="40">
        <f t="shared" ref="F73:F93" si="17">SUM(AC73,AJ73,AP73,AV73,BD73,BJ73,BQ73,BW73,CD73,CK73,CQ73,CW73,DC73,DJ73,DQ73,DX73)</f>
        <v>0</v>
      </c>
      <c r="G73" s="40">
        <f t="shared" ref="G73:G93" si="18">SUM(AD73,AW73,BK73,BX73,CE73,DD73,DK73,DR73,DY73)</f>
        <v>0</v>
      </c>
      <c r="H73" s="39">
        <v>0</v>
      </c>
      <c r="I73" s="40">
        <f t="shared" ref="I73:I93" si="19">SUM(E73:H73)</f>
        <v>0</v>
      </c>
      <c r="J73" s="40">
        <f>SUM(I72:I73)</f>
        <v>0</v>
      </c>
      <c r="L73" s="85">
        <v>54954</v>
      </c>
      <c r="M73" s="40"/>
      <c r="N73" s="40"/>
      <c r="O73" s="40"/>
      <c r="P73" s="40"/>
      <c r="Q73" s="40">
        <v>0</v>
      </c>
      <c r="S73" s="85">
        <v>54954</v>
      </c>
      <c r="T73" s="40"/>
      <c r="U73" s="40"/>
      <c r="V73" s="40"/>
      <c r="W73" s="40"/>
      <c r="X73" s="40">
        <v>0</v>
      </c>
      <c r="Z73" s="85">
        <v>54954</v>
      </c>
      <c r="AA73" s="40"/>
      <c r="AB73" s="40"/>
      <c r="AC73" s="40"/>
      <c r="AD73" s="40"/>
      <c r="AE73" s="40">
        <v>0</v>
      </c>
      <c r="AG73" s="85">
        <v>54954</v>
      </c>
      <c r="AH73" s="40"/>
      <c r="AI73" s="40"/>
      <c r="AJ73" s="40"/>
      <c r="AK73" s="40">
        <v>0</v>
      </c>
      <c r="AM73" s="85">
        <v>54954</v>
      </c>
      <c r="AN73" s="40"/>
      <c r="AO73" s="87">
        <v>0</v>
      </c>
      <c r="AP73" s="40"/>
      <c r="AQ73" s="40">
        <v>0</v>
      </c>
      <c r="AS73" s="85">
        <v>54954</v>
      </c>
      <c r="AT73" s="40"/>
      <c r="AU73" s="87"/>
      <c r="AV73" s="40"/>
      <c r="AW73" s="40"/>
      <c r="AX73" s="40">
        <f t="shared" si="14"/>
        <v>0</v>
      </c>
      <c r="AZ73" s="85">
        <v>54954</v>
      </c>
      <c r="BB73" s="40"/>
      <c r="BC73" s="87"/>
      <c r="BE73" s="40">
        <v>0</v>
      </c>
      <c r="BG73" s="85">
        <v>54954</v>
      </c>
      <c r="BH73" s="40"/>
      <c r="BI73" s="87"/>
      <c r="BJ73" s="40"/>
      <c r="BK73" s="40"/>
      <c r="BL73" s="40">
        <v>0</v>
      </c>
      <c r="BN73" s="85">
        <v>54954</v>
      </c>
      <c r="BO73" s="40"/>
      <c r="BP73" s="87"/>
      <c r="BQ73" s="40">
        <f>BO73*BP73/2+BQ74</f>
        <v>0</v>
      </c>
      <c r="BR73" s="40">
        <f t="shared" ref="BR73:BR93" si="20">SUM(BO73,BQ73)</f>
        <v>0</v>
      </c>
      <c r="BT73" s="85">
        <v>54954</v>
      </c>
      <c r="BY73" s="40">
        <f t="shared" ref="BY73:BY93" si="21">SUM(BW73:BX73,BU73)</f>
        <v>0</v>
      </c>
      <c r="CA73" s="85">
        <v>54954</v>
      </c>
      <c r="CF73" s="40">
        <f t="shared" si="15"/>
        <v>0</v>
      </c>
      <c r="CG73" s="85"/>
      <c r="CH73" s="85">
        <v>54954</v>
      </c>
      <c r="CN73" s="85">
        <v>54954</v>
      </c>
      <c r="CR73" s="40">
        <v>0</v>
      </c>
      <c r="CT73" s="85">
        <v>54954</v>
      </c>
      <c r="CX73" s="40">
        <v>0</v>
      </c>
      <c r="CZ73" s="85">
        <v>54954</v>
      </c>
      <c r="DE73" s="40">
        <f t="shared" ref="DE73:DE93" si="22">SUM(DA73,DC73,DD73)</f>
        <v>0</v>
      </c>
      <c r="DG73" s="85">
        <v>54954</v>
      </c>
      <c r="DL73" s="40">
        <f t="shared" ref="DL73:DL93" si="23">SUM(DH73,DJ73,DK73)</f>
        <v>0</v>
      </c>
      <c r="DN73" s="85">
        <v>54954</v>
      </c>
      <c r="DO73" s="67"/>
      <c r="DP73" s="67"/>
      <c r="DQ73" s="67"/>
      <c r="DR73" s="67"/>
      <c r="DS73" s="40">
        <f t="shared" ref="DS73:DS93" si="24">SUM(DO73,DQ73,DR73)</f>
        <v>0</v>
      </c>
      <c r="DU73" s="85">
        <v>54954</v>
      </c>
      <c r="DV73" s="67"/>
      <c r="DW73" s="67"/>
      <c r="DX73" s="67"/>
      <c r="DY73" s="67"/>
      <c r="DZ73" s="40">
        <f t="shared" ref="DZ73:DZ93" si="25">SUM(DV73,DX73,DY73)</f>
        <v>0</v>
      </c>
    </row>
    <row r="74" spans="2:130" x14ac:dyDescent="0.4">
      <c r="B74" s="85">
        <v>55153</v>
      </c>
      <c r="C74" s="85"/>
      <c r="D74" s="85">
        <v>55137</v>
      </c>
      <c r="E74" s="40">
        <f t="shared" si="16"/>
        <v>0</v>
      </c>
      <c r="F74" s="40">
        <f t="shared" si="17"/>
        <v>0</v>
      </c>
      <c r="G74" s="40">
        <f t="shared" si="18"/>
        <v>0</v>
      </c>
      <c r="H74" s="39">
        <v>0</v>
      </c>
      <c r="I74" s="40">
        <f t="shared" si="19"/>
        <v>0</v>
      </c>
      <c r="J74" s="40"/>
      <c r="L74" s="85">
        <v>55137</v>
      </c>
      <c r="M74" s="40"/>
      <c r="N74" s="40"/>
      <c r="O74" s="40"/>
      <c r="P74" s="40"/>
      <c r="Q74" s="40">
        <v>0</v>
      </c>
      <c r="S74" s="85">
        <v>55137</v>
      </c>
      <c r="T74" s="40"/>
      <c r="U74" s="40"/>
      <c r="V74" s="40"/>
      <c r="W74" s="40"/>
      <c r="X74" s="40">
        <v>0</v>
      </c>
      <c r="Z74" s="85">
        <v>55137</v>
      </c>
      <c r="AA74" s="40"/>
      <c r="AB74" s="40"/>
      <c r="AC74" s="40"/>
      <c r="AD74" s="40"/>
      <c r="AE74" s="40">
        <v>0</v>
      </c>
      <c r="AG74" s="85">
        <v>55137</v>
      </c>
      <c r="AH74" s="40"/>
      <c r="AI74" s="40"/>
      <c r="AJ74" s="40"/>
      <c r="AK74" s="40">
        <v>0</v>
      </c>
      <c r="AM74" s="85">
        <v>55137</v>
      </c>
      <c r="AN74" s="40"/>
      <c r="AO74" s="87">
        <v>0</v>
      </c>
      <c r="AP74" s="40"/>
      <c r="AQ74" s="40">
        <v>0</v>
      </c>
      <c r="AS74" s="85">
        <v>55137</v>
      </c>
      <c r="AT74" s="40"/>
      <c r="AU74" s="87"/>
      <c r="AV74" s="40"/>
      <c r="AW74" s="40"/>
      <c r="AX74" s="40">
        <f t="shared" si="14"/>
        <v>0</v>
      </c>
      <c r="AZ74" s="85">
        <v>55137</v>
      </c>
      <c r="BB74" s="40"/>
      <c r="BE74" s="40">
        <v>0</v>
      </c>
      <c r="BG74" s="85">
        <v>55137</v>
      </c>
      <c r="BH74" s="40"/>
      <c r="BI74" s="40"/>
      <c r="BL74" s="40">
        <v>0</v>
      </c>
      <c r="BN74" s="85">
        <v>55137</v>
      </c>
      <c r="BR74" s="40">
        <f t="shared" si="20"/>
        <v>0</v>
      </c>
      <c r="BT74" s="85">
        <v>55137</v>
      </c>
      <c r="BY74" s="40">
        <f t="shared" si="21"/>
        <v>0</v>
      </c>
      <c r="CA74" s="85">
        <v>55137</v>
      </c>
      <c r="CF74" s="40">
        <f t="shared" si="15"/>
        <v>0</v>
      </c>
      <c r="CG74" s="85"/>
      <c r="CH74" s="85">
        <v>55137</v>
      </c>
      <c r="CN74" s="85">
        <v>55137</v>
      </c>
      <c r="CR74" s="40">
        <v>0</v>
      </c>
      <c r="CT74" s="85">
        <v>55137</v>
      </c>
      <c r="CX74" s="40">
        <v>0</v>
      </c>
      <c r="CZ74" s="85">
        <v>55137</v>
      </c>
      <c r="DE74" s="40">
        <f t="shared" si="22"/>
        <v>0</v>
      </c>
      <c r="DG74" s="85">
        <v>55137</v>
      </c>
      <c r="DL74" s="40">
        <f t="shared" si="23"/>
        <v>0</v>
      </c>
      <c r="DN74" s="85">
        <v>55137</v>
      </c>
      <c r="DS74" s="40">
        <f t="shared" si="24"/>
        <v>0</v>
      </c>
      <c r="DU74" s="85">
        <v>55137</v>
      </c>
      <c r="DV74" s="67"/>
      <c r="DW74" s="67"/>
      <c r="DX74" s="67"/>
      <c r="DY74" s="67"/>
      <c r="DZ74" s="40">
        <f t="shared" si="25"/>
        <v>0</v>
      </c>
    </row>
    <row r="75" spans="2:130" x14ac:dyDescent="0.4">
      <c r="B75" s="85">
        <v>55334</v>
      </c>
      <c r="C75" s="85"/>
      <c r="D75" s="85">
        <v>55319</v>
      </c>
      <c r="E75" s="40">
        <f t="shared" si="16"/>
        <v>0</v>
      </c>
      <c r="F75" s="40">
        <f t="shared" si="17"/>
        <v>0</v>
      </c>
      <c r="G75" s="40">
        <f t="shared" si="18"/>
        <v>0</v>
      </c>
      <c r="H75" s="39">
        <v>0</v>
      </c>
      <c r="I75" s="40">
        <f t="shared" si="19"/>
        <v>0</v>
      </c>
      <c r="J75" s="40">
        <f>SUM(I74:I75)</f>
        <v>0</v>
      </c>
      <c r="L75" s="85">
        <v>55319</v>
      </c>
      <c r="M75" s="40"/>
      <c r="N75" s="40"/>
      <c r="O75" s="40"/>
      <c r="P75" s="40"/>
      <c r="Q75" s="40">
        <v>0</v>
      </c>
      <c r="S75" s="85">
        <v>55319</v>
      </c>
      <c r="T75" s="40"/>
      <c r="U75" s="40"/>
      <c r="V75" s="40"/>
      <c r="W75" s="40"/>
      <c r="X75" s="40">
        <v>0</v>
      </c>
      <c r="Z75" s="85">
        <v>55319</v>
      </c>
      <c r="AA75" s="40"/>
      <c r="AB75" s="40"/>
      <c r="AC75" s="40"/>
      <c r="AD75" s="40"/>
      <c r="AE75" s="40">
        <v>0</v>
      </c>
      <c r="AG75" s="85">
        <v>55319</v>
      </c>
      <c r="AH75" s="40"/>
      <c r="AI75" s="40"/>
      <c r="AJ75" s="40"/>
      <c r="AK75" s="40">
        <v>0</v>
      </c>
      <c r="AM75" s="85">
        <v>55319</v>
      </c>
      <c r="AN75" s="40"/>
      <c r="AO75" s="87">
        <v>0</v>
      </c>
      <c r="AP75" s="40"/>
      <c r="AQ75" s="40">
        <v>0</v>
      </c>
      <c r="AS75" s="85">
        <v>55319</v>
      </c>
      <c r="AT75" s="40"/>
      <c r="AU75" s="87"/>
      <c r="AV75" s="40"/>
      <c r="AW75" s="40"/>
      <c r="AX75" s="40">
        <f t="shared" si="14"/>
        <v>0</v>
      </c>
      <c r="AZ75" s="85">
        <v>55319</v>
      </c>
      <c r="BB75" s="40"/>
      <c r="BE75" s="40">
        <v>0</v>
      </c>
      <c r="BG75" s="85">
        <v>55319</v>
      </c>
      <c r="BH75" s="40"/>
      <c r="BI75" s="40"/>
      <c r="BL75" s="40">
        <v>0</v>
      </c>
      <c r="BN75" s="85">
        <v>55319</v>
      </c>
      <c r="BR75" s="40">
        <f t="shared" si="20"/>
        <v>0</v>
      </c>
      <c r="BT75" s="85">
        <v>55319</v>
      </c>
      <c r="BY75" s="40">
        <f t="shared" si="21"/>
        <v>0</v>
      </c>
      <c r="CA75" s="85">
        <v>55319</v>
      </c>
      <c r="CF75" s="40">
        <f t="shared" si="15"/>
        <v>0</v>
      </c>
      <c r="CG75" s="85"/>
      <c r="CH75" s="85">
        <v>55319</v>
      </c>
      <c r="CN75" s="85">
        <v>55319</v>
      </c>
      <c r="CR75" s="40">
        <v>0</v>
      </c>
      <c r="CT75" s="85">
        <v>55319</v>
      </c>
      <c r="CX75" s="40">
        <v>0</v>
      </c>
      <c r="CZ75" s="85">
        <v>55319</v>
      </c>
      <c r="DE75" s="40">
        <f t="shared" si="22"/>
        <v>0</v>
      </c>
      <c r="DG75" s="85">
        <v>55319</v>
      </c>
      <c r="DL75" s="40">
        <f t="shared" si="23"/>
        <v>0</v>
      </c>
      <c r="DN75" s="85">
        <v>55319</v>
      </c>
      <c r="DS75" s="40">
        <f t="shared" si="24"/>
        <v>0</v>
      </c>
      <c r="DU75" s="85">
        <v>55319</v>
      </c>
      <c r="DZ75" s="40">
        <f t="shared" si="25"/>
        <v>0</v>
      </c>
    </row>
    <row r="76" spans="2:130" x14ac:dyDescent="0.4">
      <c r="B76" s="85">
        <v>55518</v>
      </c>
      <c r="C76" s="85"/>
      <c r="D76" s="85">
        <v>55502</v>
      </c>
      <c r="E76" s="40">
        <f t="shared" si="16"/>
        <v>0</v>
      </c>
      <c r="F76" s="40">
        <f t="shared" si="17"/>
        <v>0</v>
      </c>
      <c r="G76" s="40">
        <f t="shared" si="18"/>
        <v>0</v>
      </c>
      <c r="H76" s="39">
        <v>0</v>
      </c>
      <c r="I76" s="40">
        <f t="shared" si="19"/>
        <v>0</v>
      </c>
      <c r="J76" s="40"/>
      <c r="L76" s="85">
        <v>55502</v>
      </c>
      <c r="M76" s="40"/>
      <c r="N76" s="40"/>
      <c r="O76" s="40"/>
      <c r="P76" s="40"/>
      <c r="Q76" s="40">
        <v>0</v>
      </c>
      <c r="S76" s="85">
        <v>55502</v>
      </c>
      <c r="T76" s="40"/>
      <c r="U76" s="40"/>
      <c r="V76" s="40"/>
      <c r="W76" s="40"/>
      <c r="X76" s="40">
        <v>0</v>
      </c>
      <c r="Z76" s="85">
        <v>55502</v>
      </c>
      <c r="AA76" s="40"/>
      <c r="AB76" s="40"/>
      <c r="AC76" s="40"/>
      <c r="AD76" s="40"/>
      <c r="AE76" s="40">
        <v>0</v>
      </c>
      <c r="AG76" s="85">
        <v>55502</v>
      </c>
      <c r="AH76" s="40"/>
      <c r="AI76" s="40"/>
      <c r="AJ76" s="40"/>
      <c r="AK76" s="40">
        <v>0</v>
      </c>
      <c r="AM76" s="85">
        <v>55502</v>
      </c>
      <c r="AN76" s="40"/>
      <c r="AO76" s="87">
        <v>0</v>
      </c>
      <c r="AP76" s="40"/>
      <c r="AQ76" s="40">
        <v>0</v>
      </c>
      <c r="AS76" s="85">
        <v>55502</v>
      </c>
      <c r="AT76" s="40"/>
      <c r="AU76" s="87"/>
      <c r="AV76" s="40"/>
      <c r="AW76" s="40"/>
      <c r="AX76" s="40">
        <f t="shared" si="14"/>
        <v>0</v>
      </c>
      <c r="AZ76" s="85">
        <v>55502</v>
      </c>
      <c r="BB76" s="40"/>
      <c r="BE76" s="40">
        <v>0</v>
      </c>
      <c r="BG76" s="85">
        <v>55502</v>
      </c>
      <c r="BH76" s="40"/>
      <c r="BI76" s="40"/>
      <c r="BL76" s="40">
        <v>0</v>
      </c>
      <c r="BN76" s="85">
        <v>55502</v>
      </c>
      <c r="BR76" s="40">
        <f t="shared" si="20"/>
        <v>0</v>
      </c>
      <c r="BT76" s="85">
        <v>55502</v>
      </c>
      <c r="BY76" s="40">
        <f t="shared" si="21"/>
        <v>0</v>
      </c>
      <c r="CA76" s="85">
        <v>55502</v>
      </c>
      <c r="CF76" s="40">
        <f t="shared" si="15"/>
        <v>0</v>
      </c>
      <c r="CG76" s="85"/>
      <c r="CH76" s="85">
        <v>55502</v>
      </c>
      <c r="CN76" s="85">
        <v>55502</v>
      </c>
      <c r="CR76" s="40">
        <v>0</v>
      </c>
      <c r="CT76" s="85">
        <v>55502</v>
      </c>
      <c r="CX76" s="40">
        <v>0</v>
      </c>
      <c r="CZ76" s="85">
        <v>55502</v>
      </c>
      <c r="DE76" s="40">
        <f t="shared" si="22"/>
        <v>0</v>
      </c>
      <c r="DG76" s="85">
        <v>55502</v>
      </c>
      <c r="DL76" s="40">
        <f t="shared" si="23"/>
        <v>0</v>
      </c>
      <c r="DN76" s="85">
        <v>55502</v>
      </c>
      <c r="DS76" s="40">
        <f t="shared" si="24"/>
        <v>0</v>
      </c>
      <c r="DU76" s="85">
        <v>55502</v>
      </c>
      <c r="DZ76" s="40">
        <f t="shared" si="25"/>
        <v>0</v>
      </c>
    </row>
    <row r="77" spans="2:130" x14ac:dyDescent="0.4">
      <c r="B77" s="85">
        <v>55700</v>
      </c>
      <c r="C77" s="85"/>
      <c r="D77" s="85">
        <v>55685</v>
      </c>
      <c r="E77" s="40">
        <f t="shared" si="16"/>
        <v>0</v>
      </c>
      <c r="F77" s="40">
        <f t="shared" si="17"/>
        <v>0</v>
      </c>
      <c r="G77" s="40">
        <f t="shared" si="18"/>
        <v>0</v>
      </c>
      <c r="H77" s="39">
        <v>0</v>
      </c>
      <c r="I77" s="40">
        <f t="shared" si="19"/>
        <v>0</v>
      </c>
      <c r="J77" s="40">
        <f>SUM(I76:I77)</f>
        <v>0</v>
      </c>
      <c r="L77" s="85">
        <v>55685</v>
      </c>
      <c r="M77" s="40"/>
      <c r="N77" s="40"/>
      <c r="O77" s="40"/>
      <c r="P77" s="40"/>
      <c r="Q77" s="40">
        <v>0</v>
      </c>
      <c r="S77" s="85">
        <v>55685</v>
      </c>
      <c r="T77" s="40"/>
      <c r="U77" s="40"/>
      <c r="V77" s="40"/>
      <c r="W77" s="40"/>
      <c r="X77" s="40">
        <v>0</v>
      </c>
      <c r="Z77" s="85">
        <v>55685</v>
      </c>
      <c r="AA77" s="40"/>
      <c r="AB77" s="40"/>
      <c r="AC77" s="40"/>
      <c r="AD77" s="40"/>
      <c r="AE77" s="40">
        <v>0</v>
      </c>
      <c r="AG77" s="85">
        <v>55685</v>
      </c>
      <c r="AH77" s="40"/>
      <c r="AI77" s="40"/>
      <c r="AJ77" s="40"/>
      <c r="AK77" s="40">
        <v>0</v>
      </c>
      <c r="AM77" s="85">
        <v>55685</v>
      </c>
      <c r="AN77" s="40"/>
      <c r="AO77" s="87">
        <v>0</v>
      </c>
      <c r="AP77" s="40"/>
      <c r="AQ77" s="40">
        <v>0</v>
      </c>
      <c r="AS77" s="85">
        <v>55685</v>
      </c>
      <c r="AT77" s="40"/>
      <c r="AU77" s="87"/>
      <c r="AV77" s="40"/>
      <c r="AW77" s="40"/>
      <c r="AX77" s="40">
        <f t="shared" si="14"/>
        <v>0</v>
      </c>
      <c r="AZ77" s="85">
        <v>55685</v>
      </c>
      <c r="BB77" s="40"/>
      <c r="BE77" s="40">
        <v>0</v>
      </c>
      <c r="BG77" s="85">
        <v>55685</v>
      </c>
      <c r="BH77" s="40"/>
      <c r="BI77" s="40"/>
      <c r="BL77" s="40">
        <v>0</v>
      </c>
      <c r="BN77" s="85">
        <v>55685</v>
      </c>
      <c r="BR77" s="40">
        <f t="shared" si="20"/>
        <v>0</v>
      </c>
      <c r="BT77" s="85">
        <v>55685</v>
      </c>
      <c r="BY77" s="40">
        <f t="shared" si="21"/>
        <v>0</v>
      </c>
      <c r="CA77" s="85">
        <v>55685</v>
      </c>
      <c r="CF77" s="40">
        <f t="shared" si="15"/>
        <v>0</v>
      </c>
      <c r="CG77" s="85"/>
      <c r="CH77" s="85">
        <v>55685</v>
      </c>
      <c r="CN77" s="85">
        <v>55685</v>
      </c>
      <c r="CR77" s="40">
        <v>0</v>
      </c>
      <c r="CT77" s="85">
        <v>55685</v>
      </c>
      <c r="CX77" s="40">
        <v>0</v>
      </c>
      <c r="CZ77" s="85">
        <v>55685</v>
      </c>
      <c r="DE77" s="40">
        <f t="shared" si="22"/>
        <v>0</v>
      </c>
      <c r="DG77" s="85">
        <v>55685</v>
      </c>
      <c r="DL77" s="40">
        <f t="shared" si="23"/>
        <v>0</v>
      </c>
      <c r="DN77" s="85">
        <v>55685</v>
      </c>
      <c r="DS77" s="40">
        <f t="shared" si="24"/>
        <v>0</v>
      </c>
      <c r="DU77" s="85">
        <v>55685</v>
      </c>
      <c r="DZ77" s="40">
        <f t="shared" si="25"/>
        <v>0</v>
      </c>
    </row>
    <row r="78" spans="2:130" x14ac:dyDescent="0.4">
      <c r="B78" s="85">
        <v>55884</v>
      </c>
      <c r="C78" s="85"/>
      <c r="D78" s="85">
        <v>55868</v>
      </c>
      <c r="E78" s="40">
        <f t="shared" si="16"/>
        <v>0</v>
      </c>
      <c r="F78" s="40">
        <f t="shared" si="17"/>
        <v>0</v>
      </c>
      <c r="G78" s="40">
        <f t="shared" si="18"/>
        <v>0</v>
      </c>
      <c r="H78" s="39">
        <v>0</v>
      </c>
      <c r="I78" s="40">
        <f t="shared" si="19"/>
        <v>0</v>
      </c>
      <c r="J78" s="40"/>
      <c r="L78" s="85">
        <v>55868</v>
      </c>
      <c r="M78" s="40"/>
      <c r="N78" s="40"/>
      <c r="O78" s="40"/>
      <c r="P78" s="40"/>
      <c r="Q78" s="40">
        <v>0</v>
      </c>
      <c r="S78" s="85">
        <v>55868</v>
      </c>
      <c r="T78" s="40"/>
      <c r="U78" s="40"/>
      <c r="V78" s="40"/>
      <c r="W78" s="40"/>
      <c r="X78" s="40">
        <v>0</v>
      </c>
      <c r="Z78" s="85">
        <v>55868</v>
      </c>
      <c r="AA78" s="40"/>
      <c r="AB78" s="40"/>
      <c r="AC78" s="40"/>
      <c r="AD78" s="40"/>
      <c r="AE78" s="40">
        <v>0</v>
      </c>
      <c r="AG78" s="85">
        <v>55868</v>
      </c>
      <c r="AH78" s="40"/>
      <c r="AI78" s="40"/>
      <c r="AJ78" s="40"/>
      <c r="AK78" s="40">
        <v>0</v>
      </c>
      <c r="AM78" s="85">
        <v>55868</v>
      </c>
      <c r="AN78" s="40"/>
      <c r="AO78" s="87">
        <v>0</v>
      </c>
      <c r="AP78" s="40"/>
      <c r="AQ78" s="40">
        <v>0</v>
      </c>
      <c r="AS78" s="85">
        <v>55868</v>
      </c>
      <c r="AT78" s="40"/>
      <c r="AU78" s="87"/>
      <c r="AV78" s="40"/>
      <c r="AW78" s="40"/>
      <c r="AX78" s="40">
        <f t="shared" si="14"/>
        <v>0</v>
      </c>
      <c r="AZ78" s="85">
        <v>55868</v>
      </c>
      <c r="BB78" s="40"/>
      <c r="BC78" s="87"/>
      <c r="BE78" s="40">
        <v>0</v>
      </c>
      <c r="BG78" s="85">
        <v>55868</v>
      </c>
      <c r="BH78" s="40"/>
      <c r="BI78" s="87"/>
      <c r="BJ78" s="40"/>
      <c r="BL78" s="40">
        <v>0</v>
      </c>
      <c r="BN78" s="85">
        <v>55868</v>
      </c>
      <c r="BO78" s="40"/>
      <c r="BP78" s="87"/>
      <c r="BQ78" s="40"/>
      <c r="BR78" s="40">
        <f t="shared" si="20"/>
        <v>0</v>
      </c>
      <c r="BT78" s="85">
        <v>55868</v>
      </c>
      <c r="BY78" s="40">
        <f t="shared" si="21"/>
        <v>0</v>
      </c>
      <c r="CA78" s="85">
        <v>55868</v>
      </c>
      <c r="CF78" s="40">
        <f t="shared" si="15"/>
        <v>0</v>
      </c>
      <c r="CG78" s="85"/>
      <c r="CH78" s="85">
        <v>55868</v>
      </c>
      <c r="CI78" s="67"/>
      <c r="CJ78" s="67"/>
      <c r="CK78" s="67"/>
      <c r="CL78" s="67"/>
      <c r="CN78" s="85">
        <v>55868</v>
      </c>
      <c r="CO78" s="67"/>
      <c r="CP78" s="67"/>
      <c r="CQ78" s="67"/>
      <c r="CR78" s="40">
        <v>0</v>
      </c>
      <c r="CT78" s="85">
        <v>55868</v>
      </c>
      <c r="CU78" s="67"/>
      <c r="CV78" s="67"/>
      <c r="CW78" s="67"/>
      <c r="CX78" s="40">
        <v>0</v>
      </c>
      <c r="CZ78" s="85">
        <v>55868</v>
      </c>
      <c r="DA78" s="67"/>
      <c r="DB78" s="67"/>
      <c r="DC78" s="67"/>
      <c r="DD78" s="67"/>
      <c r="DE78" s="40">
        <f t="shared" si="22"/>
        <v>0</v>
      </c>
      <c r="DG78" s="85">
        <v>55868</v>
      </c>
      <c r="DH78" s="67"/>
      <c r="DI78" s="67"/>
      <c r="DJ78" s="67"/>
      <c r="DK78" s="67"/>
      <c r="DL78" s="40">
        <f t="shared" si="23"/>
        <v>0</v>
      </c>
      <c r="DN78" s="85">
        <v>55868</v>
      </c>
      <c r="DO78" s="67"/>
      <c r="DP78" s="67"/>
      <c r="DQ78" s="67"/>
      <c r="DR78" s="67"/>
      <c r="DS78" s="40">
        <f t="shared" si="24"/>
        <v>0</v>
      </c>
      <c r="DU78" s="85">
        <v>55868</v>
      </c>
      <c r="DV78" s="67"/>
      <c r="DW78" s="67"/>
      <c r="DX78" s="67"/>
      <c r="DY78" s="67"/>
      <c r="DZ78" s="40">
        <f t="shared" si="25"/>
        <v>0</v>
      </c>
    </row>
    <row r="79" spans="2:130" x14ac:dyDescent="0.4">
      <c r="B79" s="85">
        <v>56065</v>
      </c>
      <c r="C79" s="85"/>
      <c r="D79" s="85">
        <v>56050</v>
      </c>
      <c r="E79" s="40">
        <f t="shared" si="16"/>
        <v>0</v>
      </c>
      <c r="F79" s="40">
        <f t="shared" si="17"/>
        <v>0</v>
      </c>
      <c r="G79" s="40">
        <f t="shared" si="18"/>
        <v>0</v>
      </c>
      <c r="H79" s="39">
        <v>0</v>
      </c>
      <c r="I79" s="40">
        <f t="shared" si="19"/>
        <v>0</v>
      </c>
      <c r="J79" s="40">
        <f>SUM(I78:I79)</f>
        <v>0</v>
      </c>
      <c r="L79" s="85">
        <v>56050</v>
      </c>
      <c r="M79" s="40"/>
      <c r="N79" s="40"/>
      <c r="O79" s="40"/>
      <c r="P79" s="40"/>
      <c r="Q79" s="40">
        <v>0</v>
      </c>
      <c r="S79" s="85">
        <v>56050</v>
      </c>
      <c r="T79" s="40"/>
      <c r="U79" s="40"/>
      <c r="V79" s="40"/>
      <c r="W79" s="40"/>
      <c r="X79" s="40">
        <v>0</v>
      </c>
      <c r="Z79" s="85">
        <v>56050</v>
      </c>
      <c r="AA79" s="40"/>
      <c r="AB79" s="40"/>
      <c r="AC79" s="40"/>
      <c r="AD79" s="40"/>
      <c r="AE79" s="40">
        <v>0</v>
      </c>
      <c r="AG79" s="85">
        <v>56050</v>
      </c>
      <c r="AH79" s="40"/>
      <c r="AI79" s="40"/>
      <c r="AJ79" s="40"/>
      <c r="AK79" s="40">
        <v>0</v>
      </c>
      <c r="AM79" s="85">
        <v>56050</v>
      </c>
      <c r="AN79" s="40"/>
      <c r="AO79" s="87">
        <v>0</v>
      </c>
      <c r="AP79" s="40"/>
      <c r="AQ79" s="40">
        <v>0</v>
      </c>
      <c r="AS79" s="85">
        <v>56050</v>
      </c>
      <c r="AT79" s="40"/>
      <c r="AU79" s="87"/>
      <c r="AV79" s="40"/>
      <c r="AW79" s="40"/>
      <c r="AX79" s="40">
        <f t="shared" si="14"/>
        <v>0</v>
      </c>
      <c r="AZ79" s="85">
        <v>56050</v>
      </c>
      <c r="BB79" s="40"/>
      <c r="BC79" s="87"/>
      <c r="BE79" s="40">
        <v>0</v>
      </c>
      <c r="BG79" s="85">
        <v>56050</v>
      </c>
      <c r="BH79" s="40"/>
      <c r="BI79" s="87"/>
      <c r="BJ79" s="40"/>
      <c r="BL79" s="40">
        <v>0</v>
      </c>
      <c r="BN79" s="85">
        <v>56050</v>
      </c>
      <c r="BO79" s="40"/>
      <c r="BP79" s="87"/>
      <c r="BQ79" s="40"/>
      <c r="BR79" s="40">
        <f t="shared" si="20"/>
        <v>0</v>
      </c>
      <c r="BT79" s="85">
        <v>56050</v>
      </c>
      <c r="BY79" s="40">
        <f t="shared" si="21"/>
        <v>0</v>
      </c>
      <c r="CA79" s="85">
        <v>56050</v>
      </c>
      <c r="CF79" s="40">
        <f t="shared" si="15"/>
        <v>0</v>
      </c>
      <c r="CG79" s="85"/>
      <c r="CH79" s="85">
        <v>56050</v>
      </c>
      <c r="CI79" s="67"/>
      <c r="CJ79" s="67"/>
      <c r="CK79" s="67"/>
      <c r="CL79" s="67"/>
      <c r="CN79" s="85">
        <v>56050</v>
      </c>
      <c r="CO79" s="67"/>
      <c r="CP79" s="67"/>
      <c r="CQ79" s="67"/>
      <c r="CR79" s="40">
        <v>0</v>
      </c>
      <c r="CT79" s="85">
        <v>56050</v>
      </c>
      <c r="CU79" s="67"/>
      <c r="CV79" s="67"/>
      <c r="CW79" s="67"/>
      <c r="CX79" s="40">
        <v>0</v>
      </c>
      <c r="CZ79" s="85">
        <v>56050</v>
      </c>
      <c r="DA79" s="67"/>
      <c r="DB79" s="67"/>
      <c r="DC79" s="67"/>
      <c r="DD79" s="67"/>
      <c r="DE79" s="40">
        <f t="shared" si="22"/>
        <v>0</v>
      </c>
      <c r="DG79" s="85">
        <v>56050</v>
      </c>
      <c r="DH79" s="67"/>
      <c r="DI79" s="67"/>
      <c r="DJ79" s="67"/>
      <c r="DK79" s="67"/>
      <c r="DL79" s="40">
        <f t="shared" si="23"/>
        <v>0</v>
      </c>
      <c r="DN79" s="85">
        <v>56050</v>
      </c>
      <c r="DO79" s="67"/>
      <c r="DP79" s="67"/>
      <c r="DQ79" s="67"/>
      <c r="DR79" s="67"/>
      <c r="DS79" s="40">
        <f t="shared" si="24"/>
        <v>0</v>
      </c>
      <c r="DU79" s="85">
        <v>56050</v>
      </c>
      <c r="DV79" s="67"/>
      <c r="DW79" s="67"/>
      <c r="DX79" s="67"/>
      <c r="DY79" s="67"/>
      <c r="DZ79" s="40">
        <f t="shared" si="25"/>
        <v>0</v>
      </c>
    </row>
    <row r="80" spans="2:130" x14ac:dyDescent="0.4">
      <c r="B80" s="85">
        <v>56249</v>
      </c>
      <c r="C80" s="85"/>
      <c r="D80" s="85">
        <v>56233</v>
      </c>
      <c r="E80" s="40">
        <f t="shared" si="16"/>
        <v>0</v>
      </c>
      <c r="F80" s="40">
        <f t="shared" si="17"/>
        <v>0</v>
      </c>
      <c r="G80" s="40">
        <f t="shared" si="18"/>
        <v>0</v>
      </c>
      <c r="H80" s="39">
        <v>0</v>
      </c>
      <c r="I80" s="40">
        <f t="shared" si="19"/>
        <v>0</v>
      </c>
      <c r="J80" s="40"/>
      <c r="L80" s="85">
        <v>56233</v>
      </c>
      <c r="M80" s="40"/>
      <c r="N80" s="40"/>
      <c r="O80" s="40"/>
      <c r="P80" s="40"/>
      <c r="Q80" s="40">
        <v>0</v>
      </c>
      <c r="S80" s="85">
        <v>56233</v>
      </c>
      <c r="T80" s="40"/>
      <c r="U80" s="40"/>
      <c r="V80" s="40"/>
      <c r="W80" s="40"/>
      <c r="X80" s="40">
        <v>0</v>
      </c>
      <c r="Z80" s="85">
        <v>56233</v>
      </c>
      <c r="AA80" s="40"/>
      <c r="AB80" s="40"/>
      <c r="AC80" s="40"/>
      <c r="AD80" s="40"/>
      <c r="AE80" s="40">
        <v>0</v>
      </c>
      <c r="AG80" s="85">
        <v>56233</v>
      </c>
      <c r="AH80" s="40"/>
      <c r="AI80" s="40"/>
      <c r="AJ80" s="40"/>
      <c r="AK80" s="40">
        <v>0</v>
      </c>
      <c r="AM80" s="85">
        <v>56233</v>
      </c>
      <c r="AN80" s="40"/>
      <c r="AO80" s="87">
        <v>0</v>
      </c>
      <c r="AP80" s="40"/>
      <c r="AQ80" s="40">
        <v>0</v>
      </c>
      <c r="AS80" s="85">
        <v>56233</v>
      </c>
      <c r="AT80" s="40"/>
      <c r="AU80" s="87"/>
      <c r="AV80" s="40"/>
      <c r="AW80" s="40"/>
      <c r="AX80" s="40">
        <f t="shared" si="14"/>
        <v>0</v>
      </c>
      <c r="AZ80" s="85">
        <v>56233</v>
      </c>
      <c r="BB80" s="40"/>
      <c r="BC80" s="87"/>
      <c r="BE80" s="40">
        <v>0</v>
      </c>
      <c r="BG80" s="85">
        <v>56233</v>
      </c>
      <c r="BH80" s="40"/>
      <c r="BI80" s="87"/>
      <c r="BJ80" s="40"/>
      <c r="BL80" s="40">
        <v>0</v>
      </c>
      <c r="BN80" s="85">
        <v>56233</v>
      </c>
      <c r="BO80" s="40"/>
      <c r="BP80" s="87"/>
      <c r="BQ80" s="40"/>
      <c r="BR80" s="40">
        <f t="shared" si="20"/>
        <v>0</v>
      </c>
      <c r="BT80" s="85">
        <v>56233</v>
      </c>
      <c r="BY80" s="40">
        <f t="shared" si="21"/>
        <v>0</v>
      </c>
      <c r="CA80" s="85">
        <v>56233</v>
      </c>
      <c r="CF80" s="40">
        <f t="shared" si="15"/>
        <v>0</v>
      </c>
      <c r="CG80" s="85"/>
      <c r="CH80" s="85">
        <v>56233</v>
      </c>
      <c r="CI80" s="67"/>
      <c r="CJ80" s="67"/>
      <c r="CK80" s="67"/>
      <c r="CL80" s="67"/>
      <c r="CN80" s="85">
        <v>56233</v>
      </c>
      <c r="CO80" s="67"/>
      <c r="CP80" s="67"/>
      <c r="CQ80" s="67"/>
      <c r="CR80" s="40">
        <v>0</v>
      </c>
      <c r="CT80" s="85">
        <v>56233</v>
      </c>
      <c r="CU80" s="67"/>
      <c r="CV80" s="67"/>
      <c r="CW80" s="67"/>
      <c r="CX80" s="40">
        <v>0</v>
      </c>
      <c r="CZ80" s="85">
        <v>56233</v>
      </c>
      <c r="DA80" s="67"/>
      <c r="DB80" s="67"/>
      <c r="DC80" s="67"/>
      <c r="DD80" s="67"/>
      <c r="DE80" s="40">
        <f t="shared" si="22"/>
        <v>0</v>
      </c>
      <c r="DG80" s="85">
        <v>56233</v>
      </c>
      <c r="DH80" s="67"/>
      <c r="DI80" s="67"/>
      <c r="DJ80" s="67"/>
      <c r="DK80" s="67"/>
      <c r="DL80" s="40">
        <f t="shared" si="23"/>
        <v>0</v>
      </c>
      <c r="DN80" s="85">
        <v>56233</v>
      </c>
      <c r="DO80" s="67"/>
      <c r="DP80" s="67"/>
      <c r="DQ80" s="67"/>
      <c r="DR80" s="67"/>
      <c r="DS80" s="40">
        <f t="shared" si="24"/>
        <v>0</v>
      </c>
      <c r="DU80" s="85">
        <v>56233</v>
      </c>
      <c r="DV80" s="67"/>
      <c r="DW80" s="67"/>
      <c r="DX80" s="67"/>
      <c r="DY80" s="67"/>
      <c r="DZ80" s="40">
        <f t="shared" si="25"/>
        <v>0</v>
      </c>
    </row>
    <row r="81" spans="2:130" x14ac:dyDescent="0.4">
      <c r="B81" s="85">
        <v>56430</v>
      </c>
      <c r="C81" s="85"/>
      <c r="D81" s="85">
        <v>56415</v>
      </c>
      <c r="E81" s="40">
        <f t="shared" si="16"/>
        <v>0</v>
      </c>
      <c r="F81" s="40">
        <f t="shared" si="17"/>
        <v>0</v>
      </c>
      <c r="G81" s="40">
        <f t="shared" si="18"/>
        <v>0</v>
      </c>
      <c r="H81" s="39">
        <v>0</v>
      </c>
      <c r="I81" s="40">
        <f t="shared" si="19"/>
        <v>0</v>
      </c>
      <c r="J81" s="40">
        <f>SUM(I80:I81)</f>
        <v>0</v>
      </c>
      <c r="L81" s="85">
        <v>56415</v>
      </c>
      <c r="M81" s="40"/>
      <c r="N81" s="40"/>
      <c r="O81" s="40"/>
      <c r="P81" s="40"/>
      <c r="Q81" s="40">
        <v>0</v>
      </c>
      <c r="S81" s="85">
        <v>56415</v>
      </c>
      <c r="T81" s="40"/>
      <c r="U81" s="40"/>
      <c r="V81" s="40"/>
      <c r="W81" s="40"/>
      <c r="X81" s="40">
        <v>0</v>
      </c>
      <c r="Z81" s="85">
        <v>56415</v>
      </c>
      <c r="AA81" s="40"/>
      <c r="AB81" s="40"/>
      <c r="AC81" s="40"/>
      <c r="AD81" s="40"/>
      <c r="AE81" s="40">
        <v>0</v>
      </c>
      <c r="AG81" s="85">
        <v>56415</v>
      </c>
      <c r="AH81" s="40"/>
      <c r="AI81" s="40"/>
      <c r="AJ81" s="40"/>
      <c r="AK81" s="40">
        <v>0</v>
      </c>
      <c r="AM81" s="85">
        <v>56415</v>
      </c>
      <c r="AN81" s="40"/>
      <c r="AO81" s="87">
        <v>0</v>
      </c>
      <c r="AP81" s="40"/>
      <c r="AQ81" s="40">
        <v>0</v>
      </c>
      <c r="AS81" s="85">
        <v>56415</v>
      </c>
      <c r="AT81" s="40"/>
      <c r="AU81" s="87"/>
      <c r="AV81" s="40"/>
      <c r="AW81" s="40"/>
      <c r="AX81" s="40">
        <f t="shared" si="14"/>
        <v>0</v>
      </c>
      <c r="AZ81" s="85">
        <v>56415</v>
      </c>
      <c r="BB81" s="40"/>
      <c r="BC81" s="87"/>
      <c r="BE81" s="40">
        <v>0</v>
      </c>
      <c r="BG81" s="85">
        <v>56415</v>
      </c>
      <c r="BH81" s="40"/>
      <c r="BI81" s="87"/>
      <c r="BJ81" s="40"/>
      <c r="BL81" s="40">
        <v>0</v>
      </c>
      <c r="BN81" s="85">
        <v>56415</v>
      </c>
      <c r="BO81" s="40"/>
      <c r="BP81" s="87"/>
      <c r="BQ81" s="40"/>
      <c r="BR81" s="40">
        <f t="shared" si="20"/>
        <v>0</v>
      </c>
      <c r="BT81" s="85">
        <v>56415</v>
      </c>
      <c r="BY81" s="40">
        <f t="shared" si="21"/>
        <v>0</v>
      </c>
      <c r="CA81" s="85">
        <v>56415</v>
      </c>
      <c r="CF81" s="40">
        <f t="shared" si="15"/>
        <v>0</v>
      </c>
      <c r="CG81" s="85"/>
      <c r="CH81" s="85">
        <v>56415</v>
      </c>
      <c r="CI81" s="67"/>
      <c r="CJ81" s="67"/>
      <c r="CK81" s="67"/>
      <c r="CL81" s="67"/>
      <c r="CN81" s="85">
        <v>56415</v>
      </c>
      <c r="CO81" s="67"/>
      <c r="CP81" s="67"/>
      <c r="CQ81" s="67"/>
      <c r="CR81" s="40">
        <v>0</v>
      </c>
      <c r="CT81" s="85">
        <v>56415</v>
      </c>
      <c r="CU81" s="67"/>
      <c r="CV81" s="67"/>
      <c r="CW81" s="67"/>
      <c r="CX81" s="40">
        <v>0</v>
      </c>
      <c r="CZ81" s="85">
        <v>56415</v>
      </c>
      <c r="DA81" s="67"/>
      <c r="DB81" s="67"/>
      <c r="DC81" s="67"/>
      <c r="DD81" s="67"/>
      <c r="DE81" s="40">
        <f t="shared" si="22"/>
        <v>0</v>
      </c>
      <c r="DG81" s="85">
        <v>56415</v>
      </c>
      <c r="DH81" s="67"/>
      <c r="DI81" s="67"/>
      <c r="DJ81" s="67"/>
      <c r="DK81" s="67"/>
      <c r="DL81" s="40">
        <f t="shared" si="23"/>
        <v>0</v>
      </c>
      <c r="DN81" s="85">
        <v>56415</v>
      </c>
      <c r="DO81" s="67"/>
      <c r="DP81" s="67"/>
      <c r="DQ81" s="67"/>
      <c r="DR81" s="67"/>
      <c r="DS81" s="40">
        <f t="shared" si="24"/>
        <v>0</v>
      </c>
      <c r="DU81" s="85">
        <v>56415</v>
      </c>
      <c r="DV81" s="67"/>
      <c r="DW81" s="67"/>
      <c r="DX81" s="67"/>
      <c r="DY81" s="67"/>
      <c r="DZ81" s="40">
        <f t="shared" si="25"/>
        <v>0</v>
      </c>
    </row>
    <row r="82" spans="2:130" x14ac:dyDescent="0.4">
      <c r="B82" s="85">
        <v>56614</v>
      </c>
      <c r="C82" s="85"/>
      <c r="D82" s="85">
        <v>56598</v>
      </c>
      <c r="E82" s="40">
        <f t="shared" si="16"/>
        <v>0</v>
      </c>
      <c r="F82" s="40">
        <f t="shared" si="17"/>
        <v>0</v>
      </c>
      <c r="G82" s="40">
        <f t="shared" si="18"/>
        <v>0</v>
      </c>
      <c r="H82" s="39">
        <v>0</v>
      </c>
      <c r="I82" s="40">
        <f t="shared" si="19"/>
        <v>0</v>
      </c>
      <c r="J82" s="40"/>
      <c r="L82" s="85">
        <v>56598</v>
      </c>
      <c r="M82" s="40"/>
      <c r="N82" s="40"/>
      <c r="O82" s="40"/>
      <c r="P82" s="40"/>
      <c r="Q82" s="40">
        <v>0</v>
      </c>
      <c r="S82" s="85">
        <v>56598</v>
      </c>
      <c r="T82" s="40"/>
      <c r="U82" s="40"/>
      <c r="V82" s="40"/>
      <c r="W82" s="40"/>
      <c r="X82" s="40">
        <v>0</v>
      </c>
      <c r="Z82" s="85">
        <v>56598</v>
      </c>
      <c r="AA82" s="40"/>
      <c r="AB82" s="40"/>
      <c r="AC82" s="40"/>
      <c r="AD82" s="40"/>
      <c r="AE82" s="40">
        <v>0</v>
      </c>
      <c r="AG82" s="85">
        <v>56598</v>
      </c>
      <c r="AH82" s="40"/>
      <c r="AI82" s="40"/>
      <c r="AJ82" s="40"/>
      <c r="AK82" s="40">
        <v>0</v>
      </c>
      <c r="AM82" s="85">
        <v>56598</v>
      </c>
      <c r="AN82" s="40"/>
      <c r="AO82" s="87">
        <v>0</v>
      </c>
      <c r="AP82" s="40"/>
      <c r="AQ82" s="40">
        <v>0</v>
      </c>
      <c r="AS82" s="85">
        <v>56598</v>
      </c>
      <c r="AT82" s="40"/>
      <c r="AU82" s="87"/>
      <c r="AV82" s="40"/>
      <c r="AW82" s="40"/>
      <c r="AX82" s="40">
        <f t="shared" si="14"/>
        <v>0</v>
      </c>
      <c r="AZ82" s="85">
        <v>56598</v>
      </c>
      <c r="BB82" s="40"/>
      <c r="BC82" s="87"/>
      <c r="BE82" s="40">
        <v>0</v>
      </c>
      <c r="BG82" s="85">
        <v>56598</v>
      </c>
      <c r="BH82" s="40"/>
      <c r="BI82" s="87"/>
      <c r="BJ82" s="40"/>
      <c r="BL82" s="40">
        <v>0</v>
      </c>
      <c r="BN82" s="85">
        <v>56598</v>
      </c>
      <c r="BO82" s="40"/>
      <c r="BP82" s="87"/>
      <c r="BQ82" s="40"/>
      <c r="BR82" s="40">
        <f t="shared" si="20"/>
        <v>0</v>
      </c>
      <c r="BT82" s="85">
        <v>56598</v>
      </c>
      <c r="BY82" s="40">
        <f t="shared" si="21"/>
        <v>0</v>
      </c>
      <c r="CA82" s="85">
        <v>56598</v>
      </c>
      <c r="CF82" s="40">
        <f t="shared" si="15"/>
        <v>0</v>
      </c>
      <c r="CG82" s="85"/>
      <c r="CH82" s="85">
        <v>56598</v>
      </c>
      <c r="CI82" s="67"/>
      <c r="CJ82" s="67"/>
      <c r="CK82" s="67"/>
      <c r="CL82" s="67"/>
      <c r="CN82" s="85">
        <v>56598</v>
      </c>
      <c r="CO82" s="67"/>
      <c r="CP82" s="67"/>
      <c r="CQ82" s="67"/>
      <c r="CR82" s="40">
        <v>0</v>
      </c>
      <c r="CT82" s="85">
        <v>56598</v>
      </c>
      <c r="CU82" s="67"/>
      <c r="CV82" s="67"/>
      <c r="CW82" s="67"/>
      <c r="CX82" s="40">
        <v>0</v>
      </c>
      <c r="CZ82" s="85">
        <v>56598</v>
      </c>
      <c r="DA82" s="67"/>
      <c r="DB82" s="67"/>
      <c r="DC82" s="67"/>
      <c r="DD82" s="67"/>
      <c r="DE82" s="40">
        <f t="shared" si="22"/>
        <v>0</v>
      </c>
      <c r="DG82" s="85">
        <v>56598</v>
      </c>
      <c r="DH82" s="67"/>
      <c r="DI82" s="67"/>
      <c r="DJ82" s="67"/>
      <c r="DK82" s="67"/>
      <c r="DL82" s="40">
        <f t="shared" si="23"/>
        <v>0</v>
      </c>
      <c r="DN82" s="85">
        <v>56598</v>
      </c>
      <c r="DO82" s="67"/>
      <c r="DP82" s="67"/>
      <c r="DQ82" s="67"/>
      <c r="DR82" s="67"/>
      <c r="DS82" s="40">
        <f t="shared" si="24"/>
        <v>0</v>
      </c>
      <c r="DU82" s="85">
        <v>56598</v>
      </c>
      <c r="DV82" s="67"/>
      <c r="DW82" s="67"/>
      <c r="DX82" s="67"/>
      <c r="DY82" s="67"/>
      <c r="DZ82" s="40">
        <f t="shared" si="25"/>
        <v>0</v>
      </c>
    </row>
    <row r="83" spans="2:130" x14ac:dyDescent="0.4">
      <c r="B83" s="85">
        <v>56795</v>
      </c>
      <c r="C83" s="85"/>
      <c r="D83" s="85">
        <v>56780</v>
      </c>
      <c r="E83" s="40">
        <f t="shared" si="16"/>
        <v>0</v>
      </c>
      <c r="F83" s="40">
        <f t="shared" si="17"/>
        <v>0</v>
      </c>
      <c r="G83" s="40">
        <f t="shared" si="18"/>
        <v>0</v>
      </c>
      <c r="H83" s="39">
        <v>0</v>
      </c>
      <c r="I83" s="40">
        <f t="shared" si="19"/>
        <v>0</v>
      </c>
      <c r="J83" s="40">
        <f>SUM(I82:I83)</f>
        <v>0</v>
      </c>
      <c r="L83" s="85">
        <v>56780</v>
      </c>
      <c r="M83" s="40"/>
      <c r="N83" s="40"/>
      <c r="O83" s="40"/>
      <c r="P83" s="40"/>
      <c r="Q83" s="40">
        <v>0</v>
      </c>
      <c r="S83" s="85">
        <v>56780</v>
      </c>
      <c r="T83" s="40"/>
      <c r="U83" s="40"/>
      <c r="V83" s="40"/>
      <c r="W83" s="40"/>
      <c r="X83" s="40">
        <v>0</v>
      </c>
      <c r="Z83" s="85">
        <v>56780</v>
      </c>
      <c r="AA83" s="40"/>
      <c r="AB83" s="40"/>
      <c r="AC83" s="40"/>
      <c r="AD83" s="40"/>
      <c r="AE83" s="40">
        <v>0</v>
      </c>
      <c r="AG83" s="85">
        <v>56780</v>
      </c>
      <c r="AH83" s="40"/>
      <c r="AI83" s="40"/>
      <c r="AJ83" s="40"/>
      <c r="AK83" s="40">
        <v>0</v>
      </c>
      <c r="AM83" s="85">
        <v>56780</v>
      </c>
      <c r="AN83" s="40"/>
      <c r="AO83" s="87">
        <v>0</v>
      </c>
      <c r="AP83" s="40"/>
      <c r="AQ83" s="40">
        <v>0</v>
      </c>
      <c r="AS83" s="85">
        <v>56780</v>
      </c>
      <c r="AT83" s="40"/>
      <c r="AU83" s="87"/>
      <c r="AV83" s="40"/>
      <c r="AW83" s="40"/>
      <c r="AX83" s="40">
        <f t="shared" si="14"/>
        <v>0</v>
      </c>
      <c r="AZ83" s="85">
        <v>56780</v>
      </c>
      <c r="BB83" s="40"/>
      <c r="BC83" s="87"/>
      <c r="BE83" s="40">
        <v>0</v>
      </c>
      <c r="BG83" s="85">
        <v>56780</v>
      </c>
      <c r="BH83" s="40"/>
      <c r="BI83" s="87"/>
      <c r="BJ83" s="40"/>
      <c r="BL83" s="40">
        <v>0</v>
      </c>
      <c r="BN83" s="85">
        <v>56780</v>
      </c>
      <c r="BO83" s="40"/>
      <c r="BP83" s="87"/>
      <c r="BQ83" s="40"/>
      <c r="BR83" s="40">
        <f t="shared" si="20"/>
        <v>0</v>
      </c>
      <c r="BT83" s="85">
        <v>56780</v>
      </c>
      <c r="BY83" s="40">
        <f t="shared" si="21"/>
        <v>0</v>
      </c>
      <c r="CA83" s="85">
        <v>56780</v>
      </c>
      <c r="CF83" s="40">
        <f t="shared" si="15"/>
        <v>0</v>
      </c>
      <c r="CG83" s="85"/>
      <c r="CH83" s="85">
        <v>56780</v>
      </c>
      <c r="CI83" s="67"/>
      <c r="CJ83" s="67"/>
      <c r="CK83" s="67"/>
      <c r="CL83" s="67"/>
      <c r="CN83" s="85">
        <v>56780</v>
      </c>
      <c r="CO83" s="67"/>
      <c r="CP83" s="67"/>
      <c r="CQ83" s="67"/>
      <c r="CR83" s="40">
        <v>0</v>
      </c>
      <c r="CT83" s="85">
        <v>56780</v>
      </c>
      <c r="CU83" s="67"/>
      <c r="CV83" s="67"/>
      <c r="CW83" s="67"/>
      <c r="CX83" s="40">
        <v>0</v>
      </c>
      <c r="CZ83" s="85">
        <v>56780</v>
      </c>
      <c r="DA83" s="67"/>
      <c r="DB83" s="67"/>
      <c r="DC83" s="67"/>
      <c r="DD83" s="67"/>
      <c r="DE83" s="40">
        <f t="shared" si="22"/>
        <v>0</v>
      </c>
      <c r="DG83" s="85">
        <v>56780</v>
      </c>
      <c r="DH83" s="67"/>
      <c r="DI83" s="67"/>
      <c r="DJ83" s="67"/>
      <c r="DK83" s="67"/>
      <c r="DL83" s="40">
        <f t="shared" si="23"/>
        <v>0</v>
      </c>
      <c r="DN83" s="85">
        <v>56780</v>
      </c>
      <c r="DO83" s="67"/>
      <c r="DP83" s="67"/>
      <c r="DQ83" s="67"/>
      <c r="DR83" s="67"/>
      <c r="DS83" s="40">
        <f t="shared" si="24"/>
        <v>0</v>
      </c>
      <c r="DU83" s="85">
        <v>56780</v>
      </c>
      <c r="DV83" s="67"/>
      <c r="DW83" s="67"/>
      <c r="DX83" s="67"/>
      <c r="DY83" s="67"/>
      <c r="DZ83" s="40">
        <f t="shared" si="25"/>
        <v>0</v>
      </c>
    </row>
    <row r="84" spans="2:130" x14ac:dyDescent="0.4">
      <c r="B84" s="85">
        <v>56979</v>
      </c>
      <c r="C84" s="85"/>
      <c r="D84" s="85">
        <v>56963</v>
      </c>
      <c r="E84" s="40">
        <f t="shared" si="16"/>
        <v>0</v>
      </c>
      <c r="F84" s="40">
        <f t="shared" si="17"/>
        <v>0</v>
      </c>
      <c r="G84" s="40">
        <f t="shared" si="18"/>
        <v>0</v>
      </c>
      <c r="H84" s="39">
        <v>0</v>
      </c>
      <c r="I84" s="40">
        <f t="shared" si="19"/>
        <v>0</v>
      </c>
      <c r="J84" s="40"/>
      <c r="L84" s="85">
        <v>56963</v>
      </c>
      <c r="M84" s="40"/>
      <c r="N84" s="40"/>
      <c r="O84" s="40"/>
      <c r="P84" s="40"/>
      <c r="Q84" s="40">
        <v>0</v>
      </c>
      <c r="S84" s="85">
        <v>56963</v>
      </c>
      <c r="T84" s="40"/>
      <c r="U84" s="40"/>
      <c r="V84" s="40"/>
      <c r="W84" s="40"/>
      <c r="X84" s="40">
        <v>0</v>
      </c>
      <c r="Z84" s="85">
        <v>56963</v>
      </c>
      <c r="AA84" s="40"/>
      <c r="AB84" s="40"/>
      <c r="AC84" s="40"/>
      <c r="AD84" s="40"/>
      <c r="AE84" s="40">
        <v>0</v>
      </c>
      <c r="AG84" s="85">
        <v>56963</v>
      </c>
      <c r="AH84" s="40"/>
      <c r="AI84" s="40"/>
      <c r="AJ84" s="40"/>
      <c r="AK84" s="40">
        <v>0</v>
      </c>
      <c r="AM84" s="85">
        <v>56963</v>
      </c>
      <c r="AN84" s="40"/>
      <c r="AO84" s="87">
        <v>0</v>
      </c>
      <c r="AP84" s="40"/>
      <c r="AQ84" s="40">
        <v>0</v>
      </c>
      <c r="AS84" s="85">
        <v>56963</v>
      </c>
      <c r="AT84" s="40"/>
      <c r="AU84" s="87"/>
      <c r="AV84" s="40"/>
      <c r="AW84" s="40"/>
      <c r="AX84" s="40">
        <f t="shared" si="14"/>
        <v>0</v>
      </c>
      <c r="AZ84" s="85">
        <v>56963</v>
      </c>
      <c r="BB84" s="40"/>
      <c r="BC84" s="87"/>
      <c r="BE84" s="40">
        <v>0</v>
      </c>
      <c r="BG84" s="85">
        <v>56963</v>
      </c>
      <c r="BH84" s="40"/>
      <c r="BI84" s="87"/>
      <c r="BJ84" s="40"/>
      <c r="BL84" s="40">
        <v>0</v>
      </c>
      <c r="BN84" s="85">
        <v>56963</v>
      </c>
      <c r="BO84" s="40"/>
      <c r="BP84" s="87"/>
      <c r="BQ84" s="40"/>
      <c r="BR84" s="40">
        <f t="shared" si="20"/>
        <v>0</v>
      </c>
      <c r="BT84" s="85">
        <v>56963</v>
      </c>
      <c r="BY84" s="40">
        <f t="shared" si="21"/>
        <v>0</v>
      </c>
      <c r="CA84" s="85">
        <v>56963</v>
      </c>
      <c r="CF84" s="40">
        <f t="shared" si="15"/>
        <v>0</v>
      </c>
      <c r="CG84" s="85"/>
      <c r="CH84" s="85">
        <v>56963</v>
      </c>
      <c r="CI84" s="67"/>
      <c r="CJ84" s="67"/>
      <c r="CK84" s="67"/>
      <c r="CL84" s="67"/>
      <c r="CN84" s="85">
        <v>56963</v>
      </c>
      <c r="CO84" s="67"/>
      <c r="CP84" s="67"/>
      <c r="CQ84" s="67"/>
      <c r="CR84" s="40">
        <v>0</v>
      </c>
      <c r="CT84" s="85">
        <v>56963</v>
      </c>
      <c r="CU84" s="67"/>
      <c r="CV84" s="67"/>
      <c r="CW84" s="67"/>
      <c r="CX84" s="40">
        <v>0</v>
      </c>
      <c r="CZ84" s="85">
        <v>56963</v>
      </c>
      <c r="DA84" s="67"/>
      <c r="DB84" s="67"/>
      <c r="DC84" s="67"/>
      <c r="DD84" s="67"/>
      <c r="DE84" s="40">
        <f t="shared" si="22"/>
        <v>0</v>
      </c>
      <c r="DG84" s="85">
        <v>56963</v>
      </c>
      <c r="DH84" s="67"/>
      <c r="DI84" s="67"/>
      <c r="DJ84" s="67"/>
      <c r="DK84" s="67"/>
      <c r="DL84" s="40">
        <f t="shared" si="23"/>
        <v>0</v>
      </c>
      <c r="DN84" s="85">
        <v>56963</v>
      </c>
      <c r="DO84" s="67"/>
      <c r="DP84" s="67"/>
      <c r="DQ84" s="67"/>
      <c r="DR84" s="67"/>
      <c r="DS84" s="40">
        <f t="shared" si="24"/>
        <v>0</v>
      </c>
      <c r="DU84" s="85">
        <v>56963</v>
      </c>
      <c r="DV84" s="67"/>
      <c r="DW84" s="67"/>
      <c r="DX84" s="67"/>
      <c r="DY84" s="67"/>
      <c r="DZ84" s="40">
        <f t="shared" si="25"/>
        <v>0</v>
      </c>
    </row>
    <row r="85" spans="2:130" x14ac:dyDescent="0.4">
      <c r="B85" s="85">
        <v>57161</v>
      </c>
      <c r="C85" s="85"/>
      <c r="D85" s="85">
        <v>57146</v>
      </c>
      <c r="E85" s="40">
        <f t="shared" si="16"/>
        <v>0</v>
      </c>
      <c r="F85" s="40">
        <f t="shared" si="17"/>
        <v>0</v>
      </c>
      <c r="G85" s="40">
        <f t="shared" si="18"/>
        <v>0</v>
      </c>
      <c r="H85" s="39">
        <v>0</v>
      </c>
      <c r="I85" s="40">
        <f t="shared" si="19"/>
        <v>0</v>
      </c>
      <c r="J85" s="40">
        <f>SUM(I84:I85)</f>
        <v>0</v>
      </c>
      <c r="L85" s="85">
        <v>57146</v>
      </c>
      <c r="M85" s="40"/>
      <c r="N85" s="40"/>
      <c r="O85" s="40"/>
      <c r="P85" s="40"/>
      <c r="Q85" s="40">
        <v>0</v>
      </c>
      <c r="S85" s="85">
        <v>57146</v>
      </c>
      <c r="T85" s="40"/>
      <c r="U85" s="40"/>
      <c r="V85" s="40"/>
      <c r="W85" s="40"/>
      <c r="X85" s="40">
        <v>0</v>
      </c>
      <c r="Z85" s="85">
        <v>57146</v>
      </c>
      <c r="AA85" s="40"/>
      <c r="AB85" s="40"/>
      <c r="AC85" s="40"/>
      <c r="AD85" s="40"/>
      <c r="AE85" s="40">
        <v>0</v>
      </c>
      <c r="AG85" s="85">
        <v>57146</v>
      </c>
      <c r="AH85" s="40"/>
      <c r="AI85" s="40"/>
      <c r="AJ85" s="40"/>
      <c r="AK85" s="40">
        <v>0</v>
      </c>
      <c r="AM85" s="85">
        <v>57146</v>
      </c>
      <c r="AN85" s="40"/>
      <c r="AO85" s="87">
        <v>0</v>
      </c>
      <c r="AP85" s="40"/>
      <c r="AQ85" s="40">
        <v>0</v>
      </c>
      <c r="AS85" s="85">
        <v>57146</v>
      </c>
      <c r="AT85" s="40"/>
      <c r="AU85" s="87"/>
      <c r="AV85" s="40"/>
      <c r="AW85" s="40"/>
      <c r="AX85" s="40">
        <f t="shared" si="14"/>
        <v>0</v>
      </c>
      <c r="AZ85" s="85">
        <v>57146</v>
      </c>
      <c r="BB85" s="40"/>
      <c r="BC85" s="87"/>
      <c r="BE85" s="40">
        <v>0</v>
      </c>
      <c r="BG85" s="85">
        <v>57146</v>
      </c>
      <c r="BH85" s="40"/>
      <c r="BI85" s="87"/>
      <c r="BJ85" s="40"/>
      <c r="BL85" s="40">
        <v>0</v>
      </c>
      <c r="BN85" s="85">
        <v>57146</v>
      </c>
      <c r="BO85" s="40"/>
      <c r="BP85" s="87"/>
      <c r="BQ85" s="40"/>
      <c r="BR85" s="40">
        <f t="shared" si="20"/>
        <v>0</v>
      </c>
      <c r="BT85" s="85">
        <v>57146</v>
      </c>
      <c r="BY85" s="40">
        <f t="shared" si="21"/>
        <v>0</v>
      </c>
      <c r="CA85" s="85">
        <v>57146</v>
      </c>
      <c r="CF85" s="40">
        <f t="shared" si="15"/>
        <v>0</v>
      </c>
      <c r="CG85" s="85"/>
      <c r="CH85" s="85">
        <v>57146</v>
      </c>
      <c r="CI85" s="67"/>
      <c r="CJ85" s="67"/>
      <c r="CK85" s="67"/>
      <c r="CL85" s="67"/>
      <c r="CN85" s="85">
        <v>57146</v>
      </c>
      <c r="CO85" s="67"/>
      <c r="CP85" s="67"/>
      <c r="CQ85" s="67"/>
      <c r="CR85" s="40">
        <v>0</v>
      </c>
      <c r="CT85" s="85">
        <v>57146</v>
      </c>
      <c r="CU85" s="67"/>
      <c r="CV85" s="67"/>
      <c r="CW85" s="67"/>
      <c r="CX85" s="40">
        <v>0</v>
      </c>
      <c r="CZ85" s="85">
        <v>57146</v>
      </c>
      <c r="DA85" s="67"/>
      <c r="DB85" s="67"/>
      <c r="DC85" s="67"/>
      <c r="DD85" s="67"/>
      <c r="DE85" s="40">
        <f t="shared" si="22"/>
        <v>0</v>
      </c>
      <c r="DG85" s="85">
        <v>57146</v>
      </c>
      <c r="DH85" s="67"/>
      <c r="DI85" s="67"/>
      <c r="DJ85" s="67"/>
      <c r="DK85" s="67"/>
      <c r="DL85" s="40">
        <f t="shared" si="23"/>
        <v>0</v>
      </c>
      <c r="DN85" s="85">
        <v>57146</v>
      </c>
      <c r="DO85" s="67"/>
      <c r="DP85" s="67"/>
      <c r="DQ85" s="67"/>
      <c r="DR85" s="67"/>
      <c r="DS85" s="40">
        <f t="shared" si="24"/>
        <v>0</v>
      </c>
      <c r="DU85" s="85">
        <v>57146</v>
      </c>
      <c r="DV85" s="67"/>
      <c r="DW85" s="67"/>
      <c r="DX85" s="67"/>
      <c r="DY85" s="67"/>
      <c r="DZ85" s="40">
        <f t="shared" si="25"/>
        <v>0</v>
      </c>
    </row>
    <row r="86" spans="2:130" x14ac:dyDescent="0.4">
      <c r="B86" s="85">
        <v>57345</v>
      </c>
      <c r="C86" s="85"/>
      <c r="D86" s="85">
        <v>57329</v>
      </c>
      <c r="E86" s="40">
        <f t="shared" si="16"/>
        <v>0</v>
      </c>
      <c r="F86" s="40">
        <f t="shared" si="17"/>
        <v>0</v>
      </c>
      <c r="G86" s="40">
        <f t="shared" si="18"/>
        <v>0</v>
      </c>
      <c r="H86" s="39">
        <v>0</v>
      </c>
      <c r="I86" s="40">
        <f t="shared" si="19"/>
        <v>0</v>
      </c>
      <c r="J86" s="40"/>
      <c r="L86" s="85">
        <v>57329</v>
      </c>
      <c r="M86" s="40"/>
      <c r="N86" s="40"/>
      <c r="O86" s="40"/>
      <c r="P86" s="40"/>
      <c r="Q86" s="40">
        <v>0</v>
      </c>
      <c r="S86" s="85">
        <v>57329</v>
      </c>
      <c r="T86" s="40"/>
      <c r="U86" s="40"/>
      <c r="V86" s="40"/>
      <c r="W86" s="40"/>
      <c r="X86" s="40">
        <v>0</v>
      </c>
      <c r="Z86" s="85">
        <v>57329</v>
      </c>
      <c r="AA86" s="40"/>
      <c r="AB86" s="40"/>
      <c r="AC86" s="40"/>
      <c r="AD86" s="40"/>
      <c r="AE86" s="40">
        <v>0</v>
      </c>
      <c r="AG86" s="85">
        <v>57329</v>
      </c>
      <c r="AH86" s="40"/>
      <c r="AI86" s="40"/>
      <c r="AJ86" s="40"/>
      <c r="AK86" s="40">
        <v>0</v>
      </c>
      <c r="AM86" s="85">
        <v>57329</v>
      </c>
      <c r="AN86" s="40"/>
      <c r="AO86" s="87">
        <v>0</v>
      </c>
      <c r="AP86" s="40"/>
      <c r="AQ86" s="40">
        <v>0</v>
      </c>
      <c r="AS86" s="85">
        <v>57329</v>
      </c>
      <c r="AT86" s="40"/>
      <c r="AU86" s="87"/>
      <c r="AV86" s="40"/>
      <c r="AW86" s="40"/>
      <c r="AX86" s="40">
        <f t="shared" si="14"/>
        <v>0</v>
      </c>
      <c r="AZ86" s="85">
        <v>57329</v>
      </c>
      <c r="BB86" s="40"/>
      <c r="BC86" s="87"/>
      <c r="BE86" s="40">
        <v>0</v>
      </c>
      <c r="BG86" s="85">
        <v>57329</v>
      </c>
      <c r="BH86" s="40"/>
      <c r="BI86" s="87"/>
      <c r="BJ86" s="40"/>
      <c r="BL86" s="40">
        <v>0</v>
      </c>
      <c r="BN86" s="85">
        <v>57329</v>
      </c>
      <c r="BO86" s="40"/>
      <c r="BP86" s="87"/>
      <c r="BQ86" s="40"/>
      <c r="BR86" s="40">
        <f t="shared" si="20"/>
        <v>0</v>
      </c>
      <c r="BT86" s="85">
        <v>57329</v>
      </c>
      <c r="BY86" s="40">
        <f t="shared" si="21"/>
        <v>0</v>
      </c>
      <c r="CA86" s="85">
        <v>57329</v>
      </c>
      <c r="CF86" s="40">
        <f t="shared" si="15"/>
        <v>0</v>
      </c>
      <c r="CG86" s="85"/>
      <c r="CH86" s="85">
        <v>57329</v>
      </c>
      <c r="CI86" s="67"/>
      <c r="CJ86" s="67"/>
      <c r="CK86" s="67"/>
      <c r="CL86" s="67"/>
      <c r="CN86" s="85">
        <v>57329</v>
      </c>
      <c r="CO86" s="67"/>
      <c r="CP86" s="67"/>
      <c r="CQ86" s="67"/>
      <c r="CR86" s="40">
        <v>0</v>
      </c>
      <c r="CT86" s="85">
        <v>57329</v>
      </c>
      <c r="CU86" s="67"/>
      <c r="CV86" s="67"/>
      <c r="CW86" s="67"/>
      <c r="CX86" s="40">
        <v>0</v>
      </c>
      <c r="CZ86" s="85">
        <v>57329</v>
      </c>
      <c r="DA86" s="67"/>
      <c r="DB86" s="67"/>
      <c r="DC86" s="67"/>
      <c r="DD86" s="67"/>
      <c r="DE86" s="40">
        <f t="shared" si="22"/>
        <v>0</v>
      </c>
      <c r="DG86" s="85">
        <v>57329</v>
      </c>
      <c r="DH86" s="67"/>
      <c r="DI86" s="67"/>
      <c r="DJ86" s="67"/>
      <c r="DK86" s="67"/>
      <c r="DL86" s="40">
        <f t="shared" si="23"/>
        <v>0</v>
      </c>
      <c r="DN86" s="85">
        <v>57329</v>
      </c>
      <c r="DO86" s="67"/>
      <c r="DP86" s="67"/>
      <c r="DQ86" s="67"/>
      <c r="DR86" s="67"/>
      <c r="DS86" s="40">
        <f t="shared" si="24"/>
        <v>0</v>
      </c>
      <c r="DU86" s="85">
        <v>57329</v>
      </c>
      <c r="DV86" s="67"/>
      <c r="DW86" s="67"/>
      <c r="DX86" s="67"/>
      <c r="DY86" s="67"/>
      <c r="DZ86" s="40">
        <f t="shared" si="25"/>
        <v>0</v>
      </c>
    </row>
    <row r="87" spans="2:130" x14ac:dyDescent="0.4">
      <c r="B87" s="85">
        <v>57526</v>
      </c>
      <c r="C87" s="85"/>
      <c r="D87" s="85">
        <v>57511</v>
      </c>
      <c r="E87" s="40">
        <f t="shared" si="16"/>
        <v>0</v>
      </c>
      <c r="F87" s="40">
        <f t="shared" si="17"/>
        <v>0</v>
      </c>
      <c r="G87" s="40">
        <f t="shared" si="18"/>
        <v>0</v>
      </c>
      <c r="H87" s="39">
        <v>0</v>
      </c>
      <c r="I87" s="40">
        <f t="shared" si="19"/>
        <v>0</v>
      </c>
      <c r="J87" s="40">
        <f>SUM(I86:I87)</f>
        <v>0</v>
      </c>
      <c r="L87" s="85">
        <v>57511</v>
      </c>
      <c r="M87" s="40"/>
      <c r="N87" s="40"/>
      <c r="O87" s="40"/>
      <c r="P87" s="40"/>
      <c r="Q87" s="40">
        <v>0</v>
      </c>
      <c r="S87" s="85">
        <v>57511</v>
      </c>
      <c r="T87" s="40"/>
      <c r="U87" s="40"/>
      <c r="V87" s="40"/>
      <c r="W87" s="40"/>
      <c r="X87" s="40">
        <v>0</v>
      </c>
      <c r="Z87" s="85">
        <v>57511</v>
      </c>
      <c r="AA87" s="40"/>
      <c r="AB87" s="40"/>
      <c r="AC87" s="40"/>
      <c r="AD87" s="40"/>
      <c r="AE87" s="40">
        <v>0</v>
      </c>
      <c r="AG87" s="85">
        <v>57511</v>
      </c>
      <c r="AH87" s="40"/>
      <c r="AI87" s="40"/>
      <c r="AJ87" s="40"/>
      <c r="AK87" s="40">
        <v>0</v>
      </c>
      <c r="AM87" s="85">
        <v>57511</v>
      </c>
      <c r="AN87" s="40"/>
      <c r="AO87" s="87">
        <v>0</v>
      </c>
      <c r="AP87" s="40"/>
      <c r="AQ87" s="40">
        <v>0</v>
      </c>
      <c r="AS87" s="85">
        <v>57511</v>
      </c>
      <c r="AT87" s="40"/>
      <c r="AU87" s="87"/>
      <c r="AV87" s="40"/>
      <c r="AW87" s="40"/>
      <c r="AX87" s="40">
        <f t="shared" si="14"/>
        <v>0</v>
      </c>
      <c r="AZ87" s="85">
        <v>57511</v>
      </c>
      <c r="BB87" s="40"/>
      <c r="BC87" s="87"/>
      <c r="BE87" s="40">
        <v>0</v>
      </c>
      <c r="BG87" s="85">
        <v>57511</v>
      </c>
      <c r="BH87" s="40"/>
      <c r="BI87" s="87"/>
      <c r="BJ87" s="40"/>
      <c r="BL87" s="40">
        <v>0</v>
      </c>
      <c r="BN87" s="85">
        <v>57511</v>
      </c>
      <c r="BO87" s="40"/>
      <c r="BP87" s="87"/>
      <c r="BQ87" s="40"/>
      <c r="BR87" s="40">
        <f t="shared" si="20"/>
        <v>0</v>
      </c>
      <c r="BT87" s="85">
        <v>57511</v>
      </c>
      <c r="BY87" s="40">
        <f t="shared" si="21"/>
        <v>0</v>
      </c>
      <c r="CA87" s="85">
        <v>57511</v>
      </c>
      <c r="CF87" s="40">
        <f t="shared" si="15"/>
        <v>0</v>
      </c>
      <c r="CG87" s="85"/>
      <c r="CH87" s="85">
        <v>57511</v>
      </c>
      <c r="CI87" s="67"/>
      <c r="CJ87" s="67"/>
      <c r="CK87" s="67"/>
      <c r="CL87" s="67"/>
      <c r="CN87" s="85">
        <v>57511</v>
      </c>
      <c r="CO87" s="67"/>
      <c r="CP87" s="67"/>
      <c r="CQ87" s="67"/>
      <c r="CR87" s="40">
        <v>0</v>
      </c>
      <c r="CT87" s="85">
        <v>57511</v>
      </c>
      <c r="CU87" s="67"/>
      <c r="CV87" s="67"/>
      <c r="CW87" s="67"/>
      <c r="CX87" s="40">
        <v>0</v>
      </c>
      <c r="CZ87" s="85">
        <v>57511</v>
      </c>
      <c r="DA87" s="67"/>
      <c r="DB87" s="67"/>
      <c r="DC87" s="67"/>
      <c r="DD87" s="67"/>
      <c r="DE87" s="40">
        <f t="shared" si="22"/>
        <v>0</v>
      </c>
      <c r="DG87" s="85">
        <v>57511</v>
      </c>
      <c r="DH87" s="67"/>
      <c r="DI87" s="67"/>
      <c r="DJ87" s="67"/>
      <c r="DK87" s="67"/>
      <c r="DL87" s="40">
        <f t="shared" si="23"/>
        <v>0</v>
      </c>
      <c r="DN87" s="85">
        <v>57511</v>
      </c>
      <c r="DO87" s="67"/>
      <c r="DP87" s="67"/>
      <c r="DQ87" s="67"/>
      <c r="DR87" s="67"/>
      <c r="DS87" s="40">
        <f t="shared" si="24"/>
        <v>0</v>
      </c>
      <c r="DU87" s="85">
        <v>57511</v>
      </c>
      <c r="DV87" s="67"/>
      <c r="DW87" s="67"/>
      <c r="DX87" s="67"/>
      <c r="DY87" s="67"/>
      <c r="DZ87" s="40">
        <f t="shared" si="25"/>
        <v>0</v>
      </c>
    </row>
    <row r="88" spans="2:130" x14ac:dyDescent="0.4">
      <c r="B88" s="85">
        <v>57710</v>
      </c>
      <c r="C88" s="85"/>
      <c r="D88" s="85">
        <v>57694</v>
      </c>
      <c r="E88" s="40">
        <f t="shared" si="16"/>
        <v>0</v>
      </c>
      <c r="F88" s="40">
        <f t="shared" si="17"/>
        <v>0</v>
      </c>
      <c r="G88" s="40">
        <f t="shared" si="18"/>
        <v>0</v>
      </c>
      <c r="H88" s="39">
        <v>0</v>
      </c>
      <c r="I88" s="40">
        <f t="shared" si="19"/>
        <v>0</v>
      </c>
      <c r="J88" s="40"/>
      <c r="L88" s="85">
        <v>57694</v>
      </c>
      <c r="M88" s="40"/>
      <c r="N88" s="40"/>
      <c r="O88" s="40"/>
      <c r="P88" s="40"/>
      <c r="Q88" s="40">
        <v>0</v>
      </c>
      <c r="S88" s="85">
        <v>57694</v>
      </c>
      <c r="T88" s="40"/>
      <c r="U88" s="40"/>
      <c r="V88" s="40"/>
      <c r="W88" s="40"/>
      <c r="X88" s="40">
        <v>0</v>
      </c>
      <c r="Z88" s="85">
        <v>57694</v>
      </c>
      <c r="AA88" s="40"/>
      <c r="AB88" s="40"/>
      <c r="AC88" s="40"/>
      <c r="AD88" s="40"/>
      <c r="AE88" s="40">
        <v>0</v>
      </c>
      <c r="AG88" s="85">
        <v>57694</v>
      </c>
      <c r="AH88" s="40"/>
      <c r="AI88" s="40"/>
      <c r="AJ88" s="40"/>
      <c r="AK88" s="40">
        <v>0</v>
      </c>
      <c r="AM88" s="85">
        <v>57694</v>
      </c>
      <c r="AN88" s="40"/>
      <c r="AO88" s="87">
        <v>0</v>
      </c>
      <c r="AP88" s="40"/>
      <c r="AQ88" s="40">
        <v>0</v>
      </c>
      <c r="AS88" s="85">
        <v>57694</v>
      </c>
      <c r="AT88" s="40"/>
      <c r="AU88" s="87"/>
      <c r="AV88" s="40"/>
      <c r="AW88" s="40"/>
      <c r="AX88" s="40">
        <f t="shared" si="14"/>
        <v>0</v>
      </c>
      <c r="AZ88" s="85">
        <v>57694</v>
      </c>
      <c r="BB88" s="40"/>
      <c r="BC88" s="87"/>
      <c r="BE88" s="40">
        <v>0</v>
      </c>
      <c r="BG88" s="85">
        <v>57694</v>
      </c>
      <c r="BH88" s="40"/>
      <c r="BI88" s="87"/>
      <c r="BJ88" s="40"/>
      <c r="BL88" s="40">
        <v>0</v>
      </c>
      <c r="BN88" s="85">
        <v>57694</v>
      </c>
      <c r="BO88" s="40"/>
      <c r="BP88" s="87"/>
      <c r="BQ88" s="40"/>
      <c r="BR88" s="40">
        <f t="shared" si="20"/>
        <v>0</v>
      </c>
      <c r="BT88" s="85">
        <v>57694</v>
      </c>
      <c r="BY88" s="40">
        <f t="shared" si="21"/>
        <v>0</v>
      </c>
      <c r="CA88" s="85">
        <v>57694</v>
      </c>
      <c r="CF88" s="40">
        <f t="shared" si="15"/>
        <v>0</v>
      </c>
      <c r="CG88" s="85"/>
      <c r="CH88" s="85">
        <v>57694</v>
      </c>
      <c r="CI88" s="67"/>
      <c r="CJ88" s="67"/>
      <c r="CK88" s="67"/>
      <c r="CL88" s="67"/>
      <c r="CN88" s="85">
        <v>57694</v>
      </c>
      <c r="CO88" s="67"/>
      <c r="CP88" s="67"/>
      <c r="CQ88" s="67"/>
      <c r="CR88" s="40">
        <v>0</v>
      </c>
      <c r="CT88" s="85">
        <v>57694</v>
      </c>
      <c r="CU88" s="67"/>
      <c r="CV88" s="67"/>
      <c r="CW88" s="67"/>
      <c r="CX88" s="40">
        <v>0</v>
      </c>
      <c r="CZ88" s="85">
        <v>57694</v>
      </c>
      <c r="DA88" s="67"/>
      <c r="DB88" s="67"/>
      <c r="DC88" s="67"/>
      <c r="DD88" s="67"/>
      <c r="DE88" s="40">
        <f t="shared" si="22"/>
        <v>0</v>
      </c>
      <c r="DG88" s="85">
        <v>57694</v>
      </c>
      <c r="DH88" s="67"/>
      <c r="DI88" s="67"/>
      <c r="DJ88" s="67"/>
      <c r="DK88" s="67"/>
      <c r="DL88" s="40">
        <f t="shared" si="23"/>
        <v>0</v>
      </c>
      <c r="DN88" s="85">
        <v>57694</v>
      </c>
      <c r="DO88" s="67"/>
      <c r="DP88" s="67"/>
      <c r="DQ88" s="67"/>
      <c r="DR88" s="67"/>
      <c r="DS88" s="40">
        <f t="shared" si="24"/>
        <v>0</v>
      </c>
      <c r="DU88" s="85">
        <v>57694</v>
      </c>
      <c r="DV88" s="67"/>
      <c r="DW88" s="67"/>
      <c r="DX88" s="67"/>
      <c r="DY88" s="67"/>
      <c r="DZ88" s="40">
        <f t="shared" si="25"/>
        <v>0</v>
      </c>
    </row>
    <row r="89" spans="2:130" x14ac:dyDescent="0.4">
      <c r="B89" s="85">
        <v>57891</v>
      </c>
      <c r="C89" s="85"/>
      <c r="D89" s="85">
        <v>57876</v>
      </c>
      <c r="E89" s="40">
        <f t="shared" si="16"/>
        <v>0</v>
      </c>
      <c r="F89" s="40">
        <f t="shared" si="17"/>
        <v>0</v>
      </c>
      <c r="G89" s="40">
        <f t="shared" si="18"/>
        <v>0</v>
      </c>
      <c r="H89" s="39">
        <v>0</v>
      </c>
      <c r="I89" s="40">
        <f t="shared" si="19"/>
        <v>0</v>
      </c>
      <c r="J89" s="40">
        <f>SUM(I88:I89)</f>
        <v>0</v>
      </c>
      <c r="L89" s="85">
        <v>57876</v>
      </c>
      <c r="M89" s="40"/>
      <c r="N89" s="40"/>
      <c r="O89" s="40"/>
      <c r="P89" s="40"/>
      <c r="Q89" s="40">
        <v>0</v>
      </c>
      <c r="S89" s="85">
        <v>57876</v>
      </c>
      <c r="T89" s="40"/>
      <c r="U89" s="40"/>
      <c r="V89" s="40"/>
      <c r="W89" s="40"/>
      <c r="X89" s="40">
        <v>0</v>
      </c>
      <c r="Z89" s="85">
        <v>57876</v>
      </c>
      <c r="AA89" s="40"/>
      <c r="AB89" s="40"/>
      <c r="AC89" s="40"/>
      <c r="AD89" s="40"/>
      <c r="AE89" s="40">
        <v>0</v>
      </c>
      <c r="AG89" s="85">
        <v>57876</v>
      </c>
      <c r="AH89" s="40"/>
      <c r="AI89" s="40"/>
      <c r="AJ89" s="40"/>
      <c r="AK89" s="40">
        <v>0</v>
      </c>
      <c r="AM89" s="85">
        <v>57876</v>
      </c>
      <c r="AN89" s="40"/>
      <c r="AO89" s="87">
        <v>0</v>
      </c>
      <c r="AP89" s="40"/>
      <c r="AQ89" s="40">
        <v>0</v>
      </c>
      <c r="AS89" s="85">
        <v>57876</v>
      </c>
      <c r="AT89" s="40"/>
      <c r="AU89" s="87"/>
      <c r="AV89" s="40"/>
      <c r="AW89" s="40"/>
      <c r="AX89" s="40">
        <f t="shared" si="14"/>
        <v>0</v>
      </c>
      <c r="AZ89" s="85">
        <v>57876</v>
      </c>
      <c r="BB89" s="40"/>
      <c r="BC89" s="87"/>
      <c r="BE89" s="40">
        <v>0</v>
      </c>
      <c r="BG89" s="85">
        <v>57876</v>
      </c>
      <c r="BH89" s="40"/>
      <c r="BI89" s="87"/>
      <c r="BJ89" s="40"/>
      <c r="BL89" s="40">
        <v>0</v>
      </c>
      <c r="BN89" s="85">
        <v>57876</v>
      </c>
      <c r="BO89" s="40"/>
      <c r="BP89" s="87"/>
      <c r="BQ89" s="40"/>
      <c r="BR89" s="40">
        <f t="shared" si="20"/>
        <v>0</v>
      </c>
      <c r="BT89" s="85">
        <v>57876</v>
      </c>
      <c r="BY89" s="40">
        <f t="shared" si="21"/>
        <v>0</v>
      </c>
      <c r="CA89" s="85">
        <v>57876</v>
      </c>
      <c r="CF89" s="40">
        <f t="shared" si="15"/>
        <v>0</v>
      </c>
      <c r="CG89" s="85"/>
      <c r="CH89" s="85">
        <v>57876</v>
      </c>
      <c r="CI89" s="67"/>
      <c r="CJ89" s="67"/>
      <c r="CK89" s="67"/>
      <c r="CL89" s="67"/>
      <c r="CN89" s="85">
        <v>57876</v>
      </c>
      <c r="CO89" s="67"/>
      <c r="CP89" s="67"/>
      <c r="CQ89" s="67"/>
      <c r="CR89" s="40">
        <v>0</v>
      </c>
      <c r="CT89" s="85">
        <v>57876</v>
      </c>
      <c r="CU89" s="67"/>
      <c r="CV89" s="67"/>
      <c r="CW89" s="67"/>
      <c r="CX89" s="40">
        <v>0</v>
      </c>
      <c r="CZ89" s="85">
        <v>57876</v>
      </c>
      <c r="DA89" s="67"/>
      <c r="DB89" s="67"/>
      <c r="DC89" s="67"/>
      <c r="DD89" s="67"/>
      <c r="DE89" s="40">
        <f t="shared" si="22"/>
        <v>0</v>
      </c>
      <c r="DG89" s="85">
        <v>57876</v>
      </c>
      <c r="DH89" s="67"/>
      <c r="DI89" s="67"/>
      <c r="DJ89" s="67"/>
      <c r="DK89" s="67"/>
      <c r="DL89" s="40">
        <f t="shared" si="23"/>
        <v>0</v>
      </c>
      <c r="DN89" s="85">
        <v>57876</v>
      </c>
      <c r="DO89" s="67"/>
      <c r="DP89" s="67"/>
      <c r="DQ89" s="67"/>
      <c r="DR89" s="67"/>
      <c r="DS89" s="40">
        <f t="shared" si="24"/>
        <v>0</v>
      </c>
      <c r="DU89" s="85">
        <v>57876</v>
      </c>
      <c r="DV89" s="67"/>
      <c r="DW89" s="67"/>
      <c r="DX89" s="67"/>
      <c r="DY89" s="67"/>
      <c r="DZ89" s="40">
        <f t="shared" si="25"/>
        <v>0</v>
      </c>
    </row>
    <row r="90" spans="2:130" x14ac:dyDescent="0.4">
      <c r="B90" s="85">
        <v>58075</v>
      </c>
      <c r="C90" s="85"/>
      <c r="D90" s="85">
        <v>58059</v>
      </c>
      <c r="E90" s="40">
        <f t="shared" si="16"/>
        <v>0</v>
      </c>
      <c r="F90" s="40">
        <f t="shared" si="17"/>
        <v>0</v>
      </c>
      <c r="G90" s="40">
        <f t="shared" si="18"/>
        <v>0</v>
      </c>
      <c r="H90" s="39">
        <v>0</v>
      </c>
      <c r="I90" s="40">
        <f t="shared" si="19"/>
        <v>0</v>
      </c>
      <c r="J90" s="40"/>
      <c r="L90" s="85">
        <v>58059</v>
      </c>
      <c r="M90" s="40"/>
      <c r="N90" s="40"/>
      <c r="O90" s="40"/>
      <c r="P90" s="40"/>
      <c r="Q90" s="40">
        <v>0</v>
      </c>
      <c r="S90" s="85">
        <v>58059</v>
      </c>
      <c r="T90" s="40"/>
      <c r="U90" s="40"/>
      <c r="V90" s="40"/>
      <c r="W90" s="40"/>
      <c r="X90" s="40">
        <v>0</v>
      </c>
      <c r="Z90" s="85">
        <v>58059</v>
      </c>
      <c r="AA90" s="40"/>
      <c r="AB90" s="40"/>
      <c r="AC90" s="40"/>
      <c r="AD90" s="40"/>
      <c r="AE90" s="40">
        <v>0</v>
      </c>
      <c r="AG90" s="85">
        <v>58059</v>
      </c>
      <c r="AH90" s="40"/>
      <c r="AI90" s="40"/>
      <c r="AJ90" s="40"/>
      <c r="AK90" s="40">
        <v>0</v>
      </c>
      <c r="AM90" s="85">
        <v>58059</v>
      </c>
      <c r="AN90" s="40"/>
      <c r="AO90" s="87">
        <v>0</v>
      </c>
      <c r="AP90" s="40"/>
      <c r="AQ90" s="40">
        <v>0</v>
      </c>
      <c r="AS90" s="85">
        <v>58059</v>
      </c>
      <c r="AT90" s="40"/>
      <c r="AU90" s="87"/>
      <c r="AV90" s="40"/>
      <c r="AW90" s="40"/>
      <c r="AX90" s="40">
        <f t="shared" si="14"/>
        <v>0</v>
      </c>
      <c r="AZ90" s="85">
        <v>58059</v>
      </c>
      <c r="BB90" s="40"/>
      <c r="BC90" s="87"/>
      <c r="BE90" s="40">
        <v>0</v>
      </c>
      <c r="BG90" s="85">
        <v>58059</v>
      </c>
      <c r="BH90" s="40"/>
      <c r="BI90" s="87"/>
      <c r="BJ90" s="40"/>
      <c r="BL90" s="40">
        <v>0</v>
      </c>
      <c r="BN90" s="85">
        <v>58059</v>
      </c>
      <c r="BO90" s="40"/>
      <c r="BP90" s="87"/>
      <c r="BQ90" s="40"/>
      <c r="BR90" s="40">
        <f t="shared" si="20"/>
        <v>0</v>
      </c>
      <c r="BT90" s="85">
        <v>58059</v>
      </c>
      <c r="BY90" s="40">
        <f t="shared" si="21"/>
        <v>0</v>
      </c>
      <c r="CA90" s="85">
        <v>58059</v>
      </c>
      <c r="CF90" s="40">
        <f t="shared" si="15"/>
        <v>0</v>
      </c>
      <c r="CG90" s="85"/>
      <c r="CH90" s="85">
        <v>58059</v>
      </c>
      <c r="CI90" s="67"/>
      <c r="CJ90" s="67"/>
      <c r="CK90" s="67"/>
      <c r="CL90" s="67"/>
      <c r="CN90" s="85">
        <v>58059</v>
      </c>
      <c r="CO90" s="67"/>
      <c r="CP90" s="67"/>
      <c r="CQ90" s="67"/>
      <c r="CR90" s="40">
        <v>0</v>
      </c>
      <c r="CT90" s="85">
        <v>58059</v>
      </c>
      <c r="CU90" s="67"/>
      <c r="CV90" s="67"/>
      <c r="CW90" s="67"/>
      <c r="CX90" s="40">
        <v>0</v>
      </c>
      <c r="CZ90" s="85">
        <v>58059</v>
      </c>
      <c r="DA90" s="67"/>
      <c r="DB90" s="67"/>
      <c r="DC90" s="67"/>
      <c r="DD90" s="67"/>
      <c r="DE90" s="40">
        <f t="shared" si="22"/>
        <v>0</v>
      </c>
      <c r="DG90" s="85">
        <v>58059</v>
      </c>
      <c r="DH90" s="67"/>
      <c r="DI90" s="67"/>
      <c r="DJ90" s="67"/>
      <c r="DK90" s="67"/>
      <c r="DL90" s="40">
        <f t="shared" si="23"/>
        <v>0</v>
      </c>
      <c r="DN90" s="85">
        <v>58059</v>
      </c>
      <c r="DO90" s="67"/>
      <c r="DP90" s="67"/>
      <c r="DQ90" s="67"/>
      <c r="DR90" s="67"/>
      <c r="DS90" s="40">
        <f t="shared" si="24"/>
        <v>0</v>
      </c>
      <c r="DU90" s="85">
        <v>58059</v>
      </c>
      <c r="DV90" s="67"/>
      <c r="DW90" s="67"/>
      <c r="DX90" s="67"/>
      <c r="DY90" s="67"/>
      <c r="DZ90" s="40">
        <f t="shared" si="25"/>
        <v>0</v>
      </c>
    </row>
    <row r="91" spans="2:130" x14ac:dyDescent="0.4">
      <c r="B91" s="85">
        <v>58256</v>
      </c>
      <c r="C91" s="85"/>
      <c r="D91" s="85">
        <v>58241</v>
      </c>
      <c r="E91" s="40">
        <f t="shared" si="16"/>
        <v>0</v>
      </c>
      <c r="F91" s="40">
        <f t="shared" si="17"/>
        <v>0</v>
      </c>
      <c r="G91" s="40">
        <f t="shared" si="18"/>
        <v>0</v>
      </c>
      <c r="H91" s="39">
        <v>0</v>
      </c>
      <c r="I91" s="40">
        <f t="shared" si="19"/>
        <v>0</v>
      </c>
      <c r="J91" s="40">
        <f>SUM(I90:I91)</f>
        <v>0</v>
      </c>
      <c r="L91" s="85">
        <v>58241</v>
      </c>
      <c r="M91" s="40"/>
      <c r="N91" s="40"/>
      <c r="O91" s="40"/>
      <c r="P91" s="40"/>
      <c r="Q91" s="40">
        <v>0</v>
      </c>
      <c r="S91" s="85">
        <v>58241</v>
      </c>
      <c r="T91" s="40"/>
      <c r="U91" s="40"/>
      <c r="V91" s="40"/>
      <c r="W91" s="40"/>
      <c r="X91" s="40">
        <v>0</v>
      </c>
      <c r="Z91" s="85">
        <v>58241</v>
      </c>
      <c r="AA91" s="40"/>
      <c r="AB91" s="40"/>
      <c r="AC91" s="40"/>
      <c r="AD91" s="40"/>
      <c r="AE91" s="40">
        <v>0</v>
      </c>
      <c r="AG91" s="85">
        <v>58241</v>
      </c>
      <c r="AH91" s="40"/>
      <c r="AI91" s="40"/>
      <c r="AJ91" s="40"/>
      <c r="AK91" s="40">
        <v>0</v>
      </c>
      <c r="AM91" s="85">
        <v>58241</v>
      </c>
      <c r="AN91" s="40"/>
      <c r="AO91" s="87">
        <v>0</v>
      </c>
      <c r="AP91" s="40"/>
      <c r="AQ91" s="40">
        <v>0</v>
      </c>
      <c r="AS91" s="85">
        <v>58241</v>
      </c>
      <c r="AT91" s="40"/>
      <c r="AU91" s="87"/>
      <c r="AV91" s="40"/>
      <c r="AW91" s="40"/>
      <c r="AX91" s="40">
        <f t="shared" si="14"/>
        <v>0</v>
      </c>
      <c r="AZ91" s="85">
        <v>58241</v>
      </c>
      <c r="BB91" s="40"/>
      <c r="BC91" s="87"/>
      <c r="BE91" s="40">
        <v>0</v>
      </c>
      <c r="BG91" s="85">
        <v>58241</v>
      </c>
      <c r="BH91" s="40"/>
      <c r="BI91" s="87"/>
      <c r="BJ91" s="40"/>
      <c r="BL91" s="40">
        <v>0</v>
      </c>
      <c r="BN91" s="85">
        <v>58241</v>
      </c>
      <c r="BO91" s="40"/>
      <c r="BP91" s="87"/>
      <c r="BQ91" s="40"/>
      <c r="BR91" s="40">
        <f t="shared" si="20"/>
        <v>0</v>
      </c>
      <c r="BT91" s="85">
        <v>58241</v>
      </c>
      <c r="BY91" s="40">
        <f t="shared" si="21"/>
        <v>0</v>
      </c>
      <c r="CA91" s="85">
        <v>58241</v>
      </c>
      <c r="CF91" s="40">
        <f t="shared" si="15"/>
        <v>0</v>
      </c>
      <c r="CG91" s="85"/>
      <c r="CH91" s="85">
        <v>58241</v>
      </c>
      <c r="CI91" s="67"/>
      <c r="CJ91" s="67"/>
      <c r="CK91" s="67"/>
      <c r="CL91" s="67"/>
      <c r="CN91" s="85">
        <v>58241</v>
      </c>
      <c r="CO91" s="67"/>
      <c r="CP91" s="67"/>
      <c r="CQ91" s="67"/>
      <c r="CR91" s="40">
        <v>0</v>
      </c>
      <c r="CT91" s="85">
        <v>58241</v>
      </c>
      <c r="CU91" s="67"/>
      <c r="CV91" s="67"/>
      <c r="CW91" s="67"/>
      <c r="CX91" s="40">
        <v>0</v>
      </c>
      <c r="CZ91" s="85">
        <v>58241</v>
      </c>
      <c r="DA91" s="67"/>
      <c r="DB91" s="67"/>
      <c r="DC91" s="67"/>
      <c r="DD91" s="67"/>
      <c r="DE91" s="40">
        <f t="shared" si="22"/>
        <v>0</v>
      </c>
      <c r="DG91" s="85">
        <v>58241</v>
      </c>
      <c r="DH91" s="67"/>
      <c r="DI91" s="67"/>
      <c r="DJ91" s="67"/>
      <c r="DK91" s="67"/>
      <c r="DL91" s="40">
        <f t="shared" si="23"/>
        <v>0</v>
      </c>
      <c r="DN91" s="85">
        <v>58241</v>
      </c>
      <c r="DO91" s="67"/>
      <c r="DP91" s="67"/>
      <c r="DQ91" s="67"/>
      <c r="DR91" s="67"/>
      <c r="DS91" s="40">
        <f t="shared" si="24"/>
        <v>0</v>
      </c>
      <c r="DU91" s="85">
        <v>58241</v>
      </c>
      <c r="DV91" s="67"/>
      <c r="DW91" s="67"/>
      <c r="DX91" s="67"/>
      <c r="DY91" s="67"/>
      <c r="DZ91" s="40">
        <f t="shared" si="25"/>
        <v>0</v>
      </c>
    </row>
    <row r="92" spans="2:130" x14ac:dyDescent="0.4">
      <c r="B92" s="85">
        <v>58440</v>
      </c>
      <c r="C92" s="85"/>
      <c r="D92" s="85">
        <v>58424</v>
      </c>
      <c r="E92" s="40">
        <f t="shared" si="16"/>
        <v>0</v>
      </c>
      <c r="F92" s="40">
        <f t="shared" si="17"/>
        <v>0</v>
      </c>
      <c r="G92" s="40">
        <f t="shared" si="18"/>
        <v>0</v>
      </c>
      <c r="H92" s="39">
        <v>0</v>
      </c>
      <c r="I92" s="40">
        <f t="shared" si="19"/>
        <v>0</v>
      </c>
      <c r="J92" s="40"/>
      <c r="L92" s="85">
        <v>58424</v>
      </c>
      <c r="M92" s="40"/>
      <c r="N92" s="40"/>
      <c r="O92" s="40"/>
      <c r="P92" s="40"/>
      <c r="Q92" s="40">
        <v>0</v>
      </c>
      <c r="S92" s="85">
        <v>58424</v>
      </c>
      <c r="T92" s="40"/>
      <c r="U92" s="40"/>
      <c r="V92" s="40"/>
      <c r="W92" s="40"/>
      <c r="X92" s="40">
        <v>0</v>
      </c>
      <c r="Z92" s="85">
        <v>58424</v>
      </c>
      <c r="AA92" s="40"/>
      <c r="AB92" s="40"/>
      <c r="AC92" s="40"/>
      <c r="AD92" s="40"/>
      <c r="AE92" s="40">
        <v>0</v>
      </c>
      <c r="AG92" s="85">
        <v>58424</v>
      </c>
      <c r="AH92" s="40"/>
      <c r="AI92" s="40"/>
      <c r="AJ92" s="40"/>
      <c r="AK92" s="40">
        <v>0</v>
      </c>
      <c r="AM92" s="85">
        <v>58424</v>
      </c>
      <c r="AN92" s="40"/>
      <c r="AO92" s="87">
        <v>0</v>
      </c>
      <c r="AP92" s="40"/>
      <c r="AQ92" s="40">
        <v>0</v>
      </c>
      <c r="AS92" s="85">
        <v>58424</v>
      </c>
      <c r="AT92" s="40"/>
      <c r="AU92" s="87"/>
      <c r="AV92" s="40"/>
      <c r="AW92" s="40"/>
      <c r="AX92" s="40">
        <f t="shared" si="14"/>
        <v>0</v>
      </c>
      <c r="AZ92" s="85">
        <v>58424</v>
      </c>
      <c r="BB92" s="40"/>
      <c r="BC92" s="87"/>
      <c r="BE92" s="40">
        <v>0</v>
      </c>
      <c r="BG92" s="85">
        <v>58424</v>
      </c>
      <c r="BH92" s="40"/>
      <c r="BI92" s="87"/>
      <c r="BJ92" s="40"/>
      <c r="BL92" s="40">
        <v>0</v>
      </c>
      <c r="BN92" s="85">
        <v>58424</v>
      </c>
      <c r="BO92" s="40"/>
      <c r="BP92" s="87"/>
      <c r="BQ92" s="40"/>
      <c r="BR92" s="40">
        <f t="shared" si="20"/>
        <v>0</v>
      </c>
      <c r="BT92" s="85">
        <v>58424</v>
      </c>
      <c r="BY92" s="40">
        <f t="shared" si="21"/>
        <v>0</v>
      </c>
      <c r="CA92" s="85">
        <v>58424</v>
      </c>
      <c r="CF92" s="40">
        <f t="shared" si="15"/>
        <v>0</v>
      </c>
      <c r="CG92" s="85"/>
      <c r="CH92" s="85">
        <v>58424</v>
      </c>
      <c r="CI92" s="67"/>
      <c r="CJ92" s="67"/>
      <c r="CK92" s="67"/>
      <c r="CL92" s="67"/>
      <c r="CN92" s="85">
        <v>58424</v>
      </c>
      <c r="CO92" s="67"/>
      <c r="CP92" s="67"/>
      <c r="CQ92" s="67"/>
      <c r="CR92" s="40">
        <v>0</v>
      </c>
      <c r="CT92" s="85">
        <v>58424</v>
      </c>
      <c r="CU92" s="67"/>
      <c r="CV92" s="67"/>
      <c r="CW92" s="67"/>
      <c r="CX92" s="40">
        <v>0</v>
      </c>
      <c r="CZ92" s="85">
        <v>58424</v>
      </c>
      <c r="DA92" s="67"/>
      <c r="DB92" s="67"/>
      <c r="DC92" s="67"/>
      <c r="DD92" s="67"/>
      <c r="DE92" s="40">
        <f t="shared" si="22"/>
        <v>0</v>
      </c>
      <c r="DG92" s="85">
        <v>58424</v>
      </c>
      <c r="DH92" s="67"/>
      <c r="DI92" s="67"/>
      <c r="DJ92" s="67"/>
      <c r="DK92" s="67"/>
      <c r="DL92" s="40">
        <f t="shared" si="23"/>
        <v>0</v>
      </c>
      <c r="DN92" s="85">
        <v>58424</v>
      </c>
      <c r="DO92" s="67"/>
      <c r="DP92" s="67"/>
      <c r="DQ92" s="67"/>
      <c r="DR92" s="67"/>
      <c r="DS92" s="40">
        <f t="shared" si="24"/>
        <v>0</v>
      </c>
      <c r="DU92" s="85">
        <v>58424</v>
      </c>
      <c r="DV92" s="67"/>
      <c r="DW92" s="67"/>
      <c r="DX92" s="67"/>
      <c r="DY92" s="67"/>
      <c r="DZ92" s="40">
        <f t="shared" si="25"/>
        <v>0</v>
      </c>
    </row>
    <row r="93" spans="2:130" x14ac:dyDescent="0.4">
      <c r="B93" s="85">
        <v>58622</v>
      </c>
      <c r="C93" s="85"/>
      <c r="D93" s="85">
        <v>58607</v>
      </c>
      <c r="E93" s="40">
        <f t="shared" si="16"/>
        <v>0</v>
      </c>
      <c r="F93" s="40">
        <f t="shared" si="17"/>
        <v>0</v>
      </c>
      <c r="G93" s="40">
        <f t="shared" si="18"/>
        <v>0</v>
      </c>
      <c r="H93" s="39">
        <v>0</v>
      </c>
      <c r="I93" s="40">
        <f t="shared" si="19"/>
        <v>0</v>
      </c>
      <c r="J93" s="40">
        <f>SUM(I92:I93)</f>
        <v>0</v>
      </c>
      <c r="L93" s="85">
        <v>58607</v>
      </c>
      <c r="M93" s="40"/>
      <c r="N93" s="40"/>
      <c r="O93" s="40"/>
      <c r="P93" s="40"/>
      <c r="Q93" s="40">
        <v>0</v>
      </c>
      <c r="S93" s="85">
        <v>58607</v>
      </c>
      <c r="T93" s="40"/>
      <c r="U93" s="40"/>
      <c r="V93" s="40"/>
      <c r="W93" s="40"/>
      <c r="X93" s="40">
        <v>0</v>
      </c>
      <c r="Z93" s="85">
        <v>58607</v>
      </c>
      <c r="AA93" s="40"/>
      <c r="AB93" s="40"/>
      <c r="AC93" s="40"/>
      <c r="AD93" s="40"/>
      <c r="AE93" s="40">
        <v>0</v>
      </c>
      <c r="AG93" s="85">
        <v>58607</v>
      </c>
      <c r="AH93" s="40"/>
      <c r="AI93" s="40"/>
      <c r="AJ93" s="40"/>
      <c r="AK93" s="40">
        <v>0</v>
      </c>
      <c r="AM93" s="85">
        <v>58607</v>
      </c>
      <c r="AN93" s="40"/>
      <c r="AO93" s="87">
        <v>0</v>
      </c>
      <c r="AP93" s="40"/>
      <c r="AQ93" s="40">
        <v>0</v>
      </c>
      <c r="AS93" s="85">
        <v>58607</v>
      </c>
      <c r="AT93" s="40"/>
      <c r="AU93" s="87"/>
      <c r="AV93" s="40"/>
      <c r="AW93" s="40"/>
      <c r="AX93" s="40">
        <f t="shared" si="14"/>
        <v>0</v>
      </c>
      <c r="AZ93" s="85">
        <v>58607</v>
      </c>
      <c r="BB93" s="40"/>
      <c r="BC93" s="87"/>
      <c r="BE93" s="40">
        <v>0</v>
      </c>
      <c r="BG93" s="85">
        <v>58607</v>
      </c>
      <c r="BH93" s="40"/>
      <c r="BI93" s="87"/>
      <c r="BJ93" s="40"/>
      <c r="BL93" s="40">
        <v>0</v>
      </c>
      <c r="BN93" s="85">
        <v>58607</v>
      </c>
      <c r="BO93" s="40"/>
      <c r="BP93" s="87"/>
      <c r="BQ93" s="40"/>
      <c r="BR93" s="40">
        <f t="shared" si="20"/>
        <v>0</v>
      </c>
      <c r="BT93" s="85">
        <v>58607</v>
      </c>
      <c r="BY93" s="40">
        <f t="shared" si="21"/>
        <v>0</v>
      </c>
      <c r="CA93" s="85">
        <v>58607</v>
      </c>
      <c r="CF93" s="40">
        <f t="shared" si="15"/>
        <v>0</v>
      </c>
      <c r="CG93" s="85"/>
      <c r="CH93" s="85">
        <v>58607</v>
      </c>
      <c r="CI93" s="67"/>
      <c r="CJ93" s="67"/>
      <c r="CK93" s="67"/>
      <c r="CL93" s="67"/>
      <c r="CN93" s="85">
        <v>58607</v>
      </c>
      <c r="CO93" s="67"/>
      <c r="CP93" s="67"/>
      <c r="CQ93" s="67"/>
      <c r="CR93" s="40">
        <v>0</v>
      </c>
      <c r="CT93" s="85">
        <v>58607</v>
      </c>
      <c r="CU93" s="67"/>
      <c r="CV93" s="67"/>
      <c r="CW93" s="67"/>
      <c r="CX93" s="40">
        <v>0</v>
      </c>
      <c r="CZ93" s="85">
        <v>58607</v>
      </c>
      <c r="DA93" s="67"/>
      <c r="DB93" s="67"/>
      <c r="DC93" s="67"/>
      <c r="DD93" s="67"/>
      <c r="DE93" s="40">
        <f t="shared" si="22"/>
        <v>0</v>
      </c>
      <c r="DG93" s="85">
        <v>58607</v>
      </c>
      <c r="DH93" s="67"/>
      <c r="DI93" s="67"/>
      <c r="DJ93" s="67"/>
      <c r="DK93" s="67"/>
      <c r="DL93" s="40">
        <f t="shared" si="23"/>
        <v>0</v>
      </c>
      <c r="DN93" s="85">
        <v>58607</v>
      </c>
      <c r="DO93" s="67"/>
      <c r="DP93" s="67"/>
      <c r="DQ93" s="67"/>
      <c r="DR93" s="67"/>
      <c r="DS93" s="40">
        <f t="shared" si="24"/>
        <v>0</v>
      </c>
      <c r="DU93" s="85">
        <v>58607</v>
      </c>
      <c r="DV93" s="67"/>
      <c r="DW93" s="67"/>
      <c r="DX93" s="67"/>
      <c r="DY93" s="67"/>
      <c r="DZ93" s="40">
        <f t="shared" si="25"/>
        <v>0</v>
      </c>
    </row>
    <row r="95" spans="2:130" x14ac:dyDescent="0.4">
      <c r="B95" s="95" t="s">
        <v>44</v>
      </c>
      <c r="C95" s="95"/>
      <c r="D95" s="95"/>
      <c r="E95" s="96">
        <f t="shared" ref="E95:J95" si="26">SUM(E11:E94)</f>
        <v>37621482.149999999</v>
      </c>
      <c r="F95" s="96">
        <f t="shared" si="26"/>
        <v>5857810</v>
      </c>
      <c r="G95" s="96">
        <f t="shared" si="26"/>
        <v>16893517.850000001</v>
      </c>
      <c r="H95" s="96">
        <f t="shared" si="26"/>
        <v>0</v>
      </c>
      <c r="I95" s="96">
        <f t="shared" si="26"/>
        <v>60372810</v>
      </c>
      <c r="J95" s="96">
        <f t="shared" si="26"/>
        <v>60372810</v>
      </c>
      <c r="L95" s="95" t="s">
        <v>44</v>
      </c>
      <c r="M95" s="96">
        <f>SUM(M11:M94)</f>
        <v>0</v>
      </c>
      <c r="N95" s="96"/>
      <c r="O95" s="96">
        <f>SUM(O11:O94)</f>
        <v>0</v>
      </c>
      <c r="P95" s="96">
        <f>SUM(P11:P94)</f>
        <v>0</v>
      </c>
      <c r="Q95" s="96">
        <f>SUM(Q11:Q94)</f>
        <v>0</v>
      </c>
      <c r="S95" s="95" t="s">
        <v>44</v>
      </c>
      <c r="T95" s="96">
        <f>SUM(T11:T94)</f>
        <v>0</v>
      </c>
      <c r="U95" s="96"/>
      <c r="V95" s="96">
        <f>SUM(V11:V94)</f>
        <v>0</v>
      </c>
      <c r="W95" s="96">
        <f>SUM(W11:W94)</f>
        <v>0</v>
      </c>
      <c r="X95" s="96">
        <f>SUM(X11:X94)</f>
        <v>0</v>
      </c>
      <c r="Z95" s="95" t="s">
        <v>44</v>
      </c>
      <c r="AA95" s="96">
        <f>SUM(AA11:AA94)</f>
        <v>0</v>
      </c>
      <c r="AB95" s="96"/>
      <c r="AC95" s="96">
        <f>SUM(AC11:AC94)</f>
        <v>0</v>
      </c>
      <c r="AD95" s="96">
        <f>SUM(AD11:AD94)</f>
        <v>0</v>
      </c>
      <c r="AE95" s="96">
        <f>SUM(AE11:AE94)</f>
        <v>0</v>
      </c>
      <c r="AG95" s="95" t="s">
        <v>44</v>
      </c>
      <c r="AH95" s="96">
        <f>SUM(AH11:AH94)</f>
        <v>0</v>
      </c>
      <c r="AI95" s="96"/>
      <c r="AJ95" s="96">
        <f>SUM(AJ11:AJ94)</f>
        <v>0</v>
      </c>
      <c r="AK95" s="96">
        <f>SUM(AK11:AK94)</f>
        <v>0</v>
      </c>
      <c r="AM95" s="95" t="s">
        <v>44</v>
      </c>
      <c r="AN95" s="96">
        <f>SUM(AN11:AN94)</f>
        <v>0</v>
      </c>
      <c r="AO95" s="96"/>
      <c r="AP95" s="96">
        <f>SUM(AP11:AP94)</f>
        <v>0</v>
      </c>
      <c r="AQ95" s="96">
        <f>SUM(AQ11:AQ94)</f>
        <v>0</v>
      </c>
      <c r="AS95" s="95" t="s">
        <v>44</v>
      </c>
      <c r="AT95" s="96">
        <f>SUM(AT11:AT94)</f>
        <v>25000000</v>
      </c>
      <c r="AU95" s="96"/>
      <c r="AV95" s="96">
        <f>SUM(AV11:AV94)</f>
        <v>4375000</v>
      </c>
      <c r="AW95" s="96">
        <f>SUM(AW11:AW94)</f>
        <v>0</v>
      </c>
      <c r="AX95" s="96">
        <f>SUM(AX11:AX94)</f>
        <v>29375000</v>
      </c>
      <c r="AY95" s="95"/>
      <c r="AZ95" s="95" t="s">
        <v>44</v>
      </c>
      <c r="BA95" s="96">
        <f>SUM(BA11:BA94)</f>
        <v>0</v>
      </c>
      <c r="BB95" s="96"/>
      <c r="BC95" s="96"/>
      <c r="BD95" s="96">
        <f>SUM(BD11:BD94)</f>
        <v>0</v>
      </c>
      <c r="BE95" s="96">
        <f>SUM(BE11:BE94)</f>
        <v>0</v>
      </c>
      <c r="BF95" s="67"/>
      <c r="BG95" s="95" t="s">
        <v>44</v>
      </c>
      <c r="BH95" s="96">
        <f>SUM(BH11:BH94)</f>
        <v>0</v>
      </c>
      <c r="BI95" s="96"/>
      <c r="BJ95" s="96">
        <f>SUM(BJ11:BJ94)</f>
        <v>0</v>
      </c>
      <c r="BK95" s="96">
        <f>SUM(BK11:BK94)</f>
        <v>0</v>
      </c>
      <c r="BL95" s="96">
        <f>SUM(BL11:BL94)</f>
        <v>0</v>
      </c>
      <c r="BN95" s="95" t="s">
        <v>44</v>
      </c>
      <c r="BO95" s="96">
        <f>SUM(BO11:BO94)</f>
        <v>0</v>
      </c>
      <c r="BP95" s="96"/>
      <c r="BQ95" s="96">
        <f>SUM(BQ11:BQ94)</f>
        <v>0</v>
      </c>
      <c r="BR95" s="96">
        <f>SUM(BR11:BR94)</f>
        <v>0</v>
      </c>
      <c r="BS95" s="67"/>
      <c r="BT95" s="95" t="s">
        <v>44</v>
      </c>
      <c r="BU95" s="96">
        <f>SUM(BU11:BU94)</f>
        <v>0</v>
      </c>
      <c r="BV95" s="96"/>
      <c r="BW95" s="96">
        <f>SUM(BW11:BW94)</f>
        <v>0</v>
      </c>
      <c r="BX95" s="96">
        <f>SUM(BX11:BX94)</f>
        <v>0</v>
      </c>
      <c r="BY95" s="96">
        <f>SUM(BY11:BY94)</f>
        <v>0</v>
      </c>
      <c r="BZ95" s="67"/>
      <c r="CA95" s="95" t="s">
        <v>44</v>
      </c>
      <c r="CB95" s="96">
        <f>SUM(CB11:CB94)</f>
        <v>9311049.5</v>
      </c>
      <c r="CC95" s="96"/>
      <c r="CD95" s="96">
        <f>SUM(CD11:CD94)</f>
        <v>1482810</v>
      </c>
      <c r="CE95" s="96">
        <f>SUM(CE11:CE94)</f>
        <v>6718950.5</v>
      </c>
      <c r="CF95" s="96">
        <f>SUM(CF11:CF94)</f>
        <v>17512810</v>
      </c>
      <c r="CG95" s="67"/>
      <c r="CH95" s="95" t="s">
        <v>44</v>
      </c>
      <c r="CI95" s="96">
        <f>SUM(CI11:CI94)</f>
        <v>0</v>
      </c>
      <c r="CJ95" s="96">
        <f>SUM(CJ11:CJ94)</f>
        <v>0</v>
      </c>
      <c r="CK95" s="96">
        <f>SUM(CK11:CK94)</f>
        <v>0</v>
      </c>
      <c r="CL95" s="96">
        <f>SUM(CL11:CL94)</f>
        <v>0</v>
      </c>
      <c r="CM95" s="67"/>
      <c r="CN95" s="95" t="s">
        <v>44</v>
      </c>
      <c r="CO95" s="96">
        <f>SUM(CO11:CO94)</f>
        <v>0</v>
      </c>
      <c r="CP95" s="96">
        <v>1.1550000000000002</v>
      </c>
      <c r="CQ95" s="96">
        <f>SUM(CQ11:CQ94)</f>
        <v>0</v>
      </c>
      <c r="CR95" s="96">
        <f>SUM(CR11:CR94)</f>
        <v>0</v>
      </c>
      <c r="CS95" s="67"/>
      <c r="CT95" s="95" t="s">
        <v>44</v>
      </c>
      <c r="CU95" s="96">
        <f>SUM(CU11:CU94)</f>
        <v>0</v>
      </c>
      <c r="CV95" s="96">
        <v>0.495</v>
      </c>
      <c r="CW95" s="96">
        <f>SUM(CW11:CW94)</f>
        <v>0</v>
      </c>
      <c r="CX95" s="96">
        <f>SUM(CX11:CX94)</f>
        <v>0</v>
      </c>
      <c r="CY95" s="67"/>
      <c r="CZ95" s="95" t="s">
        <v>44</v>
      </c>
      <c r="DA95" s="96">
        <f>SUM(DA11:DA94)</f>
        <v>3310432.65</v>
      </c>
      <c r="DB95" s="96"/>
      <c r="DC95" s="96">
        <f>SUM(DC11:DC94)</f>
        <v>0</v>
      </c>
      <c r="DD95" s="96">
        <f>SUM(DD11:DD94)</f>
        <v>10174567.35</v>
      </c>
      <c r="DE95" s="96">
        <f>SUM(DE11:DE94)</f>
        <v>13485000</v>
      </c>
      <c r="DG95" s="95" t="s">
        <v>44</v>
      </c>
      <c r="DH95" s="96">
        <f>SUM(DH11:DH94)</f>
        <v>0</v>
      </c>
      <c r="DI95" s="96"/>
      <c r="DJ95" s="96">
        <f>SUM(DJ11:DJ94)</f>
        <v>0</v>
      </c>
      <c r="DK95" s="96">
        <f>SUM(DK11:DK94)</f>
        <v>0</v>
      </c>
      <c r="DL95" s="96">
        <f>SUM(DL11:DL94)</f>
        <v>0</v>
      </c>
      <c r="DN95" s="95" t="s">
        <v>44</v>
      </c>
      <c r="DO95" s="96">
        <f>SUM(DO11:DO94)</f>
        <v>0</v>
      </c>
      <c r="DP95" s="96"/>
      <c r="DQ95" s="96">
        <f>SUM(DQ11:DQ94)</f>
        <v>0</v>
      </c>
      <c r="DR95" s="96">
        <f>SUM(DR11:DR94)</f>
        <v>0</v>
      </c>
      <c r="DS95" s="96">
        <f>SUM(DS11:DS94)</f>
        <v>0</v>
      </c>
      <c r="DU95" s="95" t="s">
        <v>44</v>
      </c>
      <c r="DV95" s="96">
        <f>SUM(DV11:DV94)</f>
        <v>0</v>
      </c>
      <c r="DW95" s="96"/>
      <c r="DX95" s="96">
        <f>SUM(DX11:DX94)</f>
        <v>0</v>
      </c>
      <c r="DY95" s="96">
        <f>SUM(DY11:DY94)</f>
        <v>0</v>
      </c>
      <c r="DZ95" s="96">
        <f>SUM(DZ11:DZ94)</f>
        <v>0</v>
      </c>
    </row>
    <row r="96" spans="2:130" x14ac:dyDescent="0.4">
      <c r="L96" s="97"/>
      <c r="M96" s="98"/>
      <c r="N96" s="98"/>
      <c r="O96" s="98"/>
      <c r="P96" s="98"/>
      <c r="S96" s="97"/>
      <c r="T96" s="98"/>
      <c r="U96" s="98"/>
      <c r="V96" s="98"/>
      <c r="W96" s="98"/>
      <c r="Z96" s="97"/>
      <c r="AA96" s="98"/>
      <c r="AB96" s="98"/>
      <c r="AC96" s="98"/>
      <c r="AD96" s="98"/>
      <c r="AG96" s="97"/>
      <c r="AH96" s="98"/>
      <c r="AI96" s="98"/>
      <c r="AJ96" s="98"/>
      <c r="AK96" s="98"/>
      <c r="AM96" s="97"/>
      <c r="AN96" s="98"/>
      <c r="AO96" s="98"/>
      <c r="AP96" s="98"/>
      <c r="AQ96" s="98"/>
      <c r="AS96" s="97"/>
      <c r="AT96" s="98"/>
      <c r="AU96" s="98"/>
      <c r="AV96" s="98"/>
      <c r="AW96" s="98"/>
      <c r="BB96" s="98"/>
    </row>
    <row r="97" spans="12:54" x14ac:dyDescent="0.4">
      <c r="L97" s="99"/>
      <c r="M97" s="73"/>
      <c r="N97" s="73"/>
      <c r="O97" s="73"/>
      <c r="P97" s="73"/>
      <c r="S97" s="99"/>
      <c r="T97" s="73"/>
      <c r="U97" s="73"/>
      <c r="V97" s="73"/>
      <c r="W97" s="73"/>
      <c r="Z97" s="99"/>
      <c r="AA97" s="73"/>
      <c r="AB97" s="73"/>
      <c r="AC97" s="73"/>
      <c r="AD97" s="73"/>
      <c r="AG97" s="99"/>
      <c r="AH97" s="73"/>
      <c r="AI97" s="73"/>
      <c r="AJ97" s="73"/>
      <c r="AK97" s="73"/>
      <c r="AM97" s="99"/>
      <c r="AN97" s="73"/>
      <c r="AO97" s="73"/>
      <c r="AP97" s="73"/>
      <c r="AQ97" s="73"/>
      <c r="AS97" s="99"/>
      <c r="AT97" s="73"/>
      <c r="AU97" s="73"/>
      <c r="AV97" s="73"/>
      <c r="AW97" s="73"/>
      <c r="BB97" s="73"/>
    </row>
    <row r="98" spans="12:54" x14ac:dyDescent="0.4">
      <c r="L98" s="67"/>
      <c r="M98" s="67"/>
      <c r="N98" s="67"/>
      <c r="O98" s="67"/>
      <c r="P98" s="67"/>
      <c r="Q98" s="67"/>
      <c r="S98" s="67"/>
      <c r="T98" s="67"/>
      <c r="U98" s="67"/>
      <c r="V98" s="67"/>
      <c r="W98" s="67"/>
      <c r="X98" s="67"/>
      <c r="Z98" s="67"/>
      <c r="AA98" s="67"/>
      <c r="AB98" s="67"/>
      <c r="AC98" s="67"/>
      <c r="AD98" s="67"/>
      <c r="AE98" s="67"/>
      <c r="AG98" s="67"/>
      <c r="AH98" s="67"/>
      <c r="AI98" s="67"/>
      <c r="AJ98" s="67"/>
      <c r="AK98" s="67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BB98" s="67"/>
    </row>
    <row r="99" spans="12:54" x14ac:dyDescent="0.4">
      <c r="L99" s="67"/>
      <c r="M99" s="67"/>
      <c r="N99" s="67"/>
      <c r="O99" s="67"/>
      <c r="P99" s="67"/>
      <c r="Q99" s="67"/>
      <c r="S99" s="67"/>
      <c r="T99" s="67"/>
      <c r="U99" s="67"/>
      <c r="V99" s="67"/>
      <c r="W99" s="67"/>
      <c r="X99" s="67"/>
      <c r="Z99" s="67"/>
      <c r="AA99" s="67"/>
      <c r="AB99" s="67"/>
      <c r="AC99" s="67"/>
      <c r="AD99" s="67"/>
      <c r="AE99" s="67"/>
      <c r="AG99" s="67"/>
      <c r="AH99" s="67"/>
      <c r="AI99" s="67"/>
      <c r="AJ99" s="67"/>
      <c r="AK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BB99" s="67"/>
    </row>
    <row r="100" spans="12:54" x14ac:dyDescent="0.4">
      <c r="L100" s="67"/>
      <c r="M100" s="67"/>
      <c r="N100" s="67"/>
      <c r="O100" s="67"/>
      <c r="P100" s="67"/>
      <c r="Q100" s="67"/>
      <c r="S100" s="67"/>
      <c r="T100" s="67"/>
      <c r="U100" s="67"/>
      <c r="V100" s="67"/>
      <c r="W100" s="67"/>
      <c r="X100" s="67"/>
      <c r="Z100" s="67"/>
      <c r="AA100" s="67"/>
      <c r="AB100" s="67"/>
      <c r="AC100" s="67"/>
      <c r="AD100" s="67"/>
      <c r="AE100" s="67"/>
      <c r="AG100" s="67"/>
      <c r="AH100" s="67"/>
      <c r="AI100" s="67"/>
      <c r="AJ100" s="67"/>
      <c r="AK100" s="67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BB100" s="67"/>
    </row>
    <row r="101" spans="12:54" x14ac:dyDescent="0.4">
      <c r="L101" s="67"/>
      <c r="M101" s="67"/>
      <c r="N101" s="67"/>
      <c r="O101" s="67"/>
      <c r="P101" s="67"/>
      <c r="Q101" s="67"/>
      <c r="S101" s="67"/>
      <c r="T101" s="67"/>
      <c r="U101" s="67"/>
      <c r="V101" s="67"/>
      <c r="W101" s="67"/>
      <c r="X101" s="67"/>
      <c r="Z101" s="67"/>
      <c r="AA101" s="67"/>
      <c r="AB101" s="67"/>
      <c r="AC101" s="67"/>
      <c r="AD101" s="67"/>
      <c r="AE101" s="67"/>
      <c r="AG101" s="67"/>
      <c r="AH101" s="67"/>
      <c r="AI101" s="67"/>
      <c r="AJ101" s="67"/>
      <c r="AK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BB101" s="67"/>
    </row>
    <row r="102" spans="12:54" x14ac:dyDescent="0.4">
      <c r="L102" s="67"/>
      <c r="M102" s="67"/>
      <c r="N102" s="67"/>
      <c r="O102" s="67"/>
      <c r="P102" s="67"/>
      <c r="Q102" s="67"/>
      <c r="S102" s="67"/>
      <c r="T102" s="67"/>
      <c r="U102" s="67"/>
      <c r="V102" s="67"/>
      <c r="W102" s="67"/>
      <c r="X102" s="67"/>
      <c r="Z102" s="67"/>
      <c r="AA102" s="67"/>
      <c r="AB102" s="67"/>
      <c r="AC102" s="67"/>
      <c r="AD102" s="67"/>
      <c r="AE102" s="67"/>
      <c r="AG102" s="67"/>
      <c r="AH102" s="67"/>
      <c r="AI102" s="67"/>
      <c r="AJ102" s="67"/>
      <c r="AK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BB102" s="67"/>
    </row>
    <row r="103" spans="12:54" x14ac:dyDescent="0.4">
      <c r="L103" s="67"/>
      <c r="M103" s="67"/>
      <c r="N103" s="67"/>
      <c r="O103" s="67"/>
      <c r="P103" s="67"/>
      <c r="Q103" s="67"/>
      <c r="S103" s="67"/>
      <c r="T103" s="67"/>
      <c r="U103" s="67"/>
      <c r="V103" s="67"/>
      <c r="W103" s="67"/>
      <c r="X103" s="67"/>
      <c r="Z103" s="67"/>
      <c r="AA103" s="67"/>
      <c r="AB103" s="67"/>
      <c r="AC103" s="67"/>
      <c r="AD103" s="67"/>
      <c r="AE103" s="67"/>
      <c r="AG103" s="67"/>
      <c r="AH103" s="67"/>
      <c r="AI103" s="67"/>
      <c r="AJ103" s="67"/>
      <c r="AK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BB103" s="67"/>
    </row>
  </sheetData>
  <pageMargins left="0.75" right="0.75" top="0.75" bottom="0.75" header="0.25" footer="0.25"/>
  <pageSetup scale="54" fitToWidth="10" orientation="portrait" r:id="rId1"/>
  <headerFooter alignWithMargins="0"/>
  <colBreaks count="9" manualBreakCount="9">
    <brk id="10" max="1048575" man="1"/>
    <brk id="24" max="1048575" man="1"/>
    <brk id="37" max="1048575" man="1"/>
    <brk id="50" max="1048575" man="1"/>
    <brk id="64" max="1048575" man="1"/>
    <brk id="77" max="1048575" man="1"/>
    <brk id="90" max="1048575" man="1"/>
    <brk id="102" max="1048575" man="1"/>
    <brk id="11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H186"/>
  <sheetViews>
    <sheetView zoomScale="80" zoomScaleNormal="80" workbookViewId="0">
      <selection activeCell="E27" sqref="E27"/>
    </sheetView>
  </sheetViews>
  <sheetFormatPr defaultColWidth="10.6640625" defaultRowHeight="13.15" x14ac:dyDescent="0.4"/>
  <cols>
    <col min="1" max="6" width="15.83203125" style="39" customWidth="1"/>
    <col min="7" max="7" width="17.6640625" style="39" customWidth="1"/>
    <col min="8" max="8" width="14.83203125" style="39" bestFit="1" customWidth="1"/>
    <col min="9" max="16384" width="10.6640625" style="39"/>
  </cols>
  <sheetData>
    <row r="2" spans="1:7" s="122" customFormat="1" ht="17.25" x14ac:dyDescent="0.45">
      <c r="A2" s="53" t="s">
        <v>84</v>
      </c>
      <c r="B2" s="53"/>
      <c r="C2" s="53"/>
      <c r="D2" s="53"/>
      <c r="E2" s="121"/>
      <c r="F2" s="121"/>
      <c r="G2" s="121"/>
    </row>
    <row r="3" spans="1:7" s="122" customFormat="1" ht="15" x14ac:dyDescent="0.4">
      <c r="A3" s="62" t="s">
        <v>46</v>
      </c>
      <c r="B3" s="62"/>
      <c r="C3" s="62"/>
      <c r="D3" s="62"/>
      <c r="E3" s="121"/>
      <c r="F3" s="121"/>
      <c r="G3" s="121"/>
    </row>
    <row r="4" spans="1:7" s="122" customFormat="1" ht="15" x14ac:dyDescent="0.4">
      <c r="A4" s="62"/>
      <c r="B4" s="62"/>
      <c r="C4" s="62"/>
      <c r="D4" s="62"/>
      <c r="E4" s="121"/>
      <c r="F4" s="121"/>
      <c r="G4" s="121"/>
    </row>
    <row r="5" spans="1:7" x14ac:dyDescent="0.4">
      <c r="A5" s="124" t="s">
        <v>53</v>
      </c>
      <c r="B5" s="124"/>
      <c r="C5" s="125"/>
      <c r="D5" s="125"/>
      <c r="E5" s="125"/>
      <c r="F5" s="125"/>
      <c r="G5" s="125"/>
    </row>
    <row r="6" spans="1:7" x14ac:dyDescent="0.4">
      <c r="A6" s="126" t="s">
        <v>86</v>
      </c>
      <c r="B6" s="126"/>
      <c r="C6" s="127"/>
      <c r="D6" s="127"/>
      <c r="E6" s="127"/>
      <c r="F6" s="127"/>
      <c r="G6" s="127"/>
    </row>
    <row r="7" spans="1:7" x14ac:dyDescent="0.4">
      <c r="A7" s="74"/>
      <c r="B7" s="75"/>
      <c r="C7" s="75"/>
      <c r="D7" s="75"/>
      <c r="E7" s="75"/>
      <c r="F7" s="75"/>
      <c r="G7" s="75"/>
    </row>
    <row r="8" spans="1:7" x14ac:dyDescent="0.4">
      <c r="A8" s="71" t="s">
        <v>60</v>
      </c>
      <c r="E8" s="76" t="s">
        <v>38</v>
      </c>
      <c r="F8" s="76" t="s">
        <v>40</v>
      </c>
    </row>
    <row r="9" spans="1:7" ht="13.5" thickBot="1" x14ac:dyDescent="0.45">
      <c r="A9" s="79" t="s">
        <v>30</v>
      </c>
      <c r="B9" s="80" t="s">
        <v>28</v>
      </c>
      <c r="C9" s="80" t="s">
        <v>32</v>
      </c>
      <c r="D9" s="80" t="s">
        <v>39</v>
      </c>
      <c r="E9" s="80" t="s">
        <v>39</v>
      </c>
      <c r="F9" s="80" t="s">
        <v>39</v>
      </c>
      <c r="G9" s="80" t="s">
        <v>41</v>
      </c>
    </row>
    <row r="10" spans="1:7" x14ac:dyDescent="0.4">
      <c r="A10" s="71"/>
      <c r="B10" s="76"/>
      <c r="C10" s="76"/>
      <c r="D10" s="76"/>
      <c r="E10" s="76"/>
      <c r="F10" s="76"/>
      <c r="G10" s="76"/>
    </row>
    <row r="11" spans="1:7" x14ac:dyDescent="0.4">
      <c r="A11" s="85">
        <v>43814</v>
      </c>
      <c r="B11" s="40">
        <v>0</v>
      </c>
      <c r="C11" s="87">
        <v>0</v>
      </c>
      <c r="D11" s="40">
        <v>0</v>
      </c>
      <c r="E11" s="40">
        <v>0</v>
      </c>
      <c r="F11" s="40">
        <v>0</v>
      </c>
      <c r="G11" s="40">
        <f>SUM(B11,D11:F11)</f>
        <v>0</v>
      </c>
    </row>
    <row r="12" spans="1:7" x14ac:dyDescent="0.4">
      <c r="A12" s="85">
        <v>43997</v>
      </c>
      <c r="B12" s="40">
        <v>0</v>
      </c>
      <c r="C12" s="87">
        <v>0</v>
      </c>
      <c r="D12" s="40">
        <v>531431.77083333326</v>
      </c>
      <c r="E12" s="40">
        <v>0</v>
      </c>
      <c r="F12" s="40">
        <v>0</v>
      </c>
      <c r="G12" s="40">
        <f>SUM(B12,D12:F12)</f>
        <v>531431.77083333326</v>
      </c>
    </row>
    <row r="14" spans="1:7" x14ac:dyDescent="0.4">
      <c r="A14" s="124" t="s">
        <v>53</v>
      </c>
      <c r="B14" s="124"/>
      <c r="C14" s="125"/>
      <c r="D14" s="125"/>
      <c r="E14" s="125"/>
      <c r="F14" s="125"/>
      <c r="G14" s="125"/>
    </row>
    <row r="15" spans="1:7" x14ac:dyDescent="0.4">
      <c r="A15" s="126" t="s">
        <v>87</v>
      </c>
      <c r="B15" s="126"/>
      <c r="C15" s="127"/>
      <c r="D15" s="127"/>
      <c r="E15" s="127"/>
      <c r="F15" s="127"/>
      <c r="G15" s="127"/>
    </row>
    <row r="16" spans="1:7" x14ac:dyDescent="0.4">
      <c r="A16" s="74"/>
      <c r="B16" s="75"/>
      <c r="C16" s="75"/>
      <c r="D16" s="75"/>
      <c r="E16" s="75"/>
      <c r="F16" s="75"/>
      <c r="G16" s="75"/>
    </row>
    <row r="17" spans="1:7" x14ac:dyDescent="0.4">
      <c r="A17" s="71" t="s">
        <v>60</v>
      </c>
      <c r="E17" s="76" t="s">
        <v>38</v>
      </c>
      <c r="F17" s="76" t="s">
        <v>40</v>
      </c>
    </row>
    <row r="18" spans="1:7" ht="13.5" thickBot="1" x14ac:dyDescent="0.45">
      <c r="A18" s="79" t="s">
        <v>30</v>
      </c>
      <c r="B18" s="80" t="s">
        <v>28</v>
      </c>
      <c r="C18" s="80" t="s">
        <v>32</v>
      </c>
      <c r="D18" s="80" t="s">
        <v>39</v>
      </c>
      <c r="E18" s="80" t="s">
        <v>39</v>
      </c>
      <c r="F18" s="80" t="s">
        <v>39</v>
      </c>
      <c r="G18" s="80" t="s">
        <v>41</v>
      </c>
    </row>
    <row r="19" spans="1:7" x14ac:dyDescent="0.4">
      <c r="A19" s="71"/>
      <c r="B19" s="76"/>
      <c r="C19" s="76"/>
      <c r="D19" s="76"/>
      <c r="E19" s="76"/>
      <c r="F19" s="76"/>
      <c r="G19" s="76"/>
    </row>
    <row r="20" spans="1:7" x14ac:dyDescent="0.4">
      <c r="A20" s="85">
        <v>43814</v>
      </c>
      <c r="B20" s="40">
        <v>0</v>
      </c>
      <c r="C20" s="87">
        <v>0</v>
      </c>
      <c r="D20" s="40">
        <v>4750125</v>
      </c>
      <c r="E20" s="40">
        <v>0</v>
      </c>
      <c r="F20" s="40">
        <v>0</v>
      </c>
      <c r="G20" s="40">
        <f>SUM(B20,D20:F20)</f>
        <v>4750125</v>
      </c>
    </row>
    <row r="21" spans="1:7" x14ac:dyDescent="0.4">
      <c r="A21" s="85">
        <v>43997</v>
      </c>
      <c r="B21" s="40">
        <v>0</v>
      </c>
      <c r="C21" s="87">
        <v>0</v>
      </c>
      <c r="D21" s="40">
        <v>4750125</v>
      </c>
      <c r="E21" s="40">
        <v>0</v>
      </c>
      <c r="F21" s="40">
        <v>0</v>
      </c>
      <c r="G21" s="40">
        <f>SUM(B21,D21:F21)</f>
        <v>4750125</v>
      </c>
    </row>
    <row r="23" spans="1:7" x14ac:dyDescent="0.4">
      <c r="A23" s="124" t="s">
        <v>53</v>
      </c>
      <c r="B23" s="124"/>
      <c r="C23" s="125"/>
      <c r="D23" s="125"/>
      <c r="E23" s="125"/>
      <c r="F23" s="125"/>
      <c r="G23" s="125"/>
    </row>
    <row r="24" spans="1:7" x14ac:dyDescent="0.4">
      <c r="A24" s="126" t="s">
        <v>88</v>
      </c>
      <c r="B24" s="126"/>
      <c r="C24" s="127"/>
      <c r="D24" s="127"/>
      <c r="E24" s="127"/>
      <c r="F24" s="127"/>
      <c r="G24" s="127"/>
    </row>
    <row r="25" spans="1:7" x14ac:dyDescent="0.4">
      <c r="A25" s="74"/>
      <c r="B25" s="75"/>
      <c r="C25" s="75"/>
      <c r="D25" s="75"/>
      <c r="E25" s="75"/>
      <c r="F25" s="75"/>
      <c r="G25" s="75"/>
    </row>
    <row r="26" spans="1:7" x14ac:dyDescent="0.4">
      <c r="A26" s="71" t="s">
        <v>60</v>
      </c>
      <c r="E26" s="76" t="s">
        <v>38</v>
      </c>
      <c r="F26" s="76" t="s">
        <v>40</v>
      </c>
    </row>
    <row r="27" spans="1:7" ht="13.5" thickBot="1" x14ac:dyDescent="0.45">
      <c r="A27" s="79" t="s">
        <v>30</v>
      </c>
      <c r="B27" s="80" t="s">
        <v>28</v>
      </c>
      <c r="C27" s="80" t="s">
        <v>32</v>
      </c>
      <c r="D27" s="80" t="s">
        <v>39</v>
      </c>
      <c r="E27" s="80" t="s">
        <v>39</v>
      </c>
      <c r="F27" s="80" t="s">
        <v>39</v>
      </c>
      <c r="G27" s="80" t="s">
        <v>41</v>
      </c>
    </row>
    <row r="28" spans="1:7" x14ac:dyDescent="0.4">
      <c r="A28" s="71"/>
      <c r="B28" s="76"/>
      <c r="C28" s="76"/>
      <c r="D28" s="76"/>
      <c r="E28" s="76"/>
      <c r="F28" s="76"/>
      <c r="G28" s="76"/>
    </row>
    <row r="29" spans="1:7" x14ac:dyDescent="0.4">
      <c r="A29" s="85">
        <v>43814</v>
      </c>
      <c r="B29" s="40">
        <v>0</v>
      </c>
      <c r="C29" s="87">
        <v>0</v>
      </c>
      <c r="D29" s="40">
        <v>1460250</v>
      </c>
      <c r="E29" s="40">
        <v>0</v>
      </c>
      <c r="F29" s="40">
        <v>0</v>
      </c>
      <c r="G29" s="40">
        <f>SUM(B29,D29:F29)</f>
        <v>1460250</v>
      </c>
    </row>
    <row r="30" spans="1:7" x14ac:dyDescent="0.4">
      <c r="A30" s="85">
        <v>43997</v>
      </c>
      <c r="B30" s="40">
        <v>0</v>
      </c>
      <c r="C30" s="87">
        <v>0</v>
      </c>
      <c r="D30" s="40">
        <v>1460250</v>
      </c>
      <c r="E30" s="40">
        <v>0</v>
      </c>
      <c r="F30" s="40">
        <v>0</v>
      </c>
      <c r="G30" s="40">
        <f>SUM(B30,D30:F30)</f>
        <v>1460250</v>
      </c>
    </row>
    <row r="31" spans="1:7" x14ac:dyDescent="0.4">
      <c r="A31" s="64"/>
    </row>
    <row r="32" spans="1:7" x14ac:dyDescent="0.4">
      <c r="A32" s="124" t="s">
        <v>53</v>
      </c>
      <c r="B32" s="124"/>
      <c r="C32" s="125"/>
      <c r="D32" s="125"/>
      <c r="E32" s="125"/>
      <c r="F32" s="125"/>
      <c r="G32" s="125"/>
    </row>
    <row r="33" spans="1:7" x14ac:dyDescent="0.4">
      <c r="A33" s="126" t="s">
        <v>89</v>
      </c>
      <c r="B33" s="126"/>
      <c r="C33" s="127"/>
      <c r="D33" s="127"/>
      <c r="E33" s="127"/>
      <c r="F33" s="127"/>
      <c r="G33" s="127"/>
    </row>
    <row r="34" spans="1:7" x14ac:dyDescent="0.4">
      <c r="A34" s="74"/>
      <c r="B34" s="75"/>
      <c r="C34" s="75"/>
      <c r="D34" s="75"/>
      <c r="E34" s="75"/>
      <c r="F34" s="75"/>
      <c r="G34" s="75"/>
    </row>
    <row r="35" spans="1:7" x14ac:dyDescent="0.4">
      <c r="A35" s="71" t="s">
        <v>60</v>
      </c>
      <c r="E35" s="76" t="s">
        <v>38</v>
      </c>
      <c r="F35" s="76" t="s">
        <v>40</v>
      </c>
    </row>
    <row r="36" spans="1:7" ht="13.5" thickBot="1" x14ac:dyDescent="0.45">
      <c r="A36" s="79" t="s">
        <v>30</v>
      </c>
      <c r="B36" s="80" t="s">
        <v>28</v>
      </c>
      <c r="C36" s="80" t="s">
        <v>32</v>
      </c>
      <c r="D36" s="80" t="s">
        <v>39</v>
      </c>
      <c r="E36" s="80" t="s">
        <v>39</v>
      </c>
      <c r="F36" s="80" t="s">
        <v>39</v>
      </c>
      <c r="G36" s="80" t="s">
        <v>41</v>
      </c>
    </row>
    <row r="37" spans="1:7" x14ac:dyDescent="0.4">
      <c r="A37" s="71"/>
      <c r="B37" s="76"/>
      <c r="C37" s="76"/>
      <c r="D37" s="76"/>
      <c r="E37" s="76"/>
      <c r="F37" s="76"/>
      <c r="G37" s="76"/>
    </row>
    <row r="38" spans="1:7" x14ac:dyDescent="0.4">
      <c r="A38" s="85">
        <v>43814</v>
      </c>
      <c r="B38" s="40">
        <v>0</v>
      </c>
      <c r="C38" s="87">
        <v>0</v>
      </c>
      <c r="D38" s="40">
        <v>3425625</v>
      </c>
      <c r="E38" s="40">
        <v>0</v>
      </c>
      <c r="F38" s="40">
        <v>0</v>
      </c>
      <c r="G38" s="40">
        <f>SUM(B38,D38:F38)</f>
        <v>3425625</v>
      </c>
    </row>
    <row r="39" spans="1:7" x14ac:dyDescent="0.4">
      <c r="A39" s="85">
        <v>43997</v>
      </c>
      <c r="B39" s="40">
        <v>0</v>
      </c>
      <c r="C39" s="87">
        <v>0</v>
      </c>
      <c r="D39" s="40">
        <v>3425625</v>
      </c>
      <c r="E39" s="40">
        <v>0</v>
      </c>
      <c r="F39" s="40">
        <v>0</v>
      </c>
      <c r="G39" s="40">
        <f>SUM(B39,D39:F39)</f>
        <v>3425625</v>
      </c>
    </row>
    <row r="41" spans="1:7" x14ac:dyDescent="0.4">
      <c r="A41" s="124" t="s">
        <v>53</v>
      </c>
      <c r="B41" s="124"/>
      <c r="C41" s="125"/>
      <c r="D41" s="125"/>
      <c r="E41" s="125"/>
      <c r="F41" s="125"/>
      <c r="G41" s="125"/>
    </row>
    <row r="42" spans="1:7" x14ac:dyDescent="0.4">
      <c r="A42" s="126" t="s">
        <v>90</v>
      </c>
      <c r="B42" s="126"/>
      <c r="C42" s="127"/>
      <c r="D42" s="127"/>
      <c r="E42" s="127"/>
      <c r="F42" s="127"/>
      <c r="G42" s="127"/>
    </row>
    <row r="43" spans="1:7" x14ac:dyDescent="0.4">
      <c r="A43" s="74"/>
      <c r="B43" s="75"/>
      <c r="C43" s="75"/>
      <c r="D43" s="75"/>
      <c r="E43" s="75"/>
      <c r="F43" s="75"/>
      <c r="G43" s="75"/>
    </row>
    <row r="44" spans="1:7" x14ac:dyDescent="0.4">
      <c r="A44" s="71" t="s">
        <v>60</v>
      </c>
      <c r="E44" s="76" t="s">
        <v>38</v>
      </c>
      <c r="F44" s="76" t="s">
        <v>40</v>
      </c>
    </row>
    <row r="45" spans="1:7" ht="13.5" thickBot="1" x14ac:dyDescent="0.45">
      <c r="A45" s="79" t="s">
        <v>30</v>
      </c>
      <c r="B45" s="80" t="s">
        <v>28</v>
      </c>
      <c r="C45" s="80" t="s">
        <v>32</v>
      </c>
      <c r="D45" s="80" t="s">
        <v>39</v>
      </c>
      <c r="E45" s="80" t="s">
        <v>39</v>
      </c>
      <c r="F45" s="80" t="s">
        <v>39</v>
      </c>
      <c r="G45" s="80" t="s">
        <v>41</v>
      </c>
    </row>
    <row r="46" spans="1:7" x14ac:dyDescent="0.4">
      <c r="A46" s="71"/>
      <c r="B46" s="76"/>
      <c r="C46" s="76"/>
      <c r="D46" s="76"/>
      <c r="E46" s="76"/>
      <c r="F46" s="76"/>
      <c r="G46" s="76"/>
    </row>
    <row r="47" spans="1:7" x14ac:dyDescent="0.4">
      <c r="A47" s="85">
        <v>43814</v>
      </c>
      <c r="B47" s="40">
        <v>0</v>
      </c>
      <c r="C47" s="87">
        <v>0</v>
      </c>
      <c r="D47" s="40">
        <v>1655375</v>
      </c>
      <c r="E47" s="40">
        <v>0</v>
      </c>
      <c r="F47" s="40">
        <v>0</v>
      </c>
      <c r="G47" s="40">
        <f>SUM(B47,D47:F47)</f>
        <v>1655375</v>
      </c>
    </row>
    <row r="48" spans="1:7" x14ac:dyDescent="0.4">
      <c r="A48" s="85">
        <v>43997</v>
      </c>
      <c r="B48" s="40">
        <v>0</v>
      </c>
      <c r="C48" s="87">
        <v>0</v>
      </c>
      <c r="D48" s="40">
        <v>1655375</v>
      </c>
      <c r="E48" s="40">
        <v>0</v>
      </c>
      <c r="F48" s="40">
        <v>0</v>
      </c>
      <c r="G48" s="40">
        <f>SUM(B48,D48:F48)</f>
        <v>1655375</v>
      </c>
    </row>
    <row r="50" spans="1:7" x14ac:dyDescent="0.4">
      <c r="A50" s="124" t="s">
        <v>53</v>
      </c>
      <c r="B50" s="124"/>
      <c r="C50" s="125"/>
      <c r="D50" s="125"/>
      <c r="E50" s="125"/>
      <c r="F50" s="125"/>
      <c r="G50" s="125"/>
    </row>
    <row r="51" spans="1:7" x14ac:dyDescent="0.4">
      <c r="A51" s="126" t="s">
        <v>91</v>
      </c>
      <c r="B51" s="126"/>
      <c r="C51" s="127"/>
      <c r="D51" s="127"/>
      <c r="E51" s="127"/>
      <c r="F51" s="127"/>
      <c r="G51" s="127"/>
    </row>
    <row r="52" spans="1:7" x14ac:dyDescent="0.4">
      <c r="A52" s="74"/>
      <c r="B52" s="75"/>
      <c r="C52" s="75"/>
      <c r="D52" s="75"/>
      <c r="E52" s="75"/>
      <c r="F52" s="75"/>
      <c r="G52" s="75"/>
    </row>
    <row r="53" spans="1:7" x14ac:dyDescent="0.4">
      <c r="A53" s="71" t="s">
        <v>60</v>
      </c>
      <c r="E53" s="76" t="s">
        <v>38</v>
      </c>
      <c r="F53" s="76" t="s">
        <v>40</v>
      </c>
    </row>
    <row r="54" spans="1:7" ht="13.5" thickBot="1" x14ac:dyDescent="0.45">
      <c r="A54" s="79" t="s">
        <v>30</v>
      </c>
      <c r="B54" s="80" t="s">
        <v>28</v>
      </c>
      <c r="C54" s="80" t="s">
        <v>32</v>
      </c>
      <c r="D54" s="80" t="s">
        <v>39</v>
      </c>
      <c r="E54" s="80" t="s">
        <v>39</v>
      </c>
      <c r="F54" s="80" t="s">
        <v>39</v>
      </c>
      <c r="G54" s="80" t="s">
        <v>41</v>
      </c>
    </row>
    <row r="55" spans="1:7" x14ac:dyDescent="0.4">
      <c r="A55" s="71"/>
      <c r="B55" s="76"/>
      <c r="C55" s="76"/>
      <c r="D55" s="76"/>
      <c r="E55" s="76"/>
      <c r="F55" s="76"/>
      <c r="G55" s="76"/>
    </row>
    <row r="56" spans="1:7" x14ac:dyDescent="0.4">
      <c r="A56" s="85">
        <v>43814</v>
      </c>
      <c r="B56" s="40">
        <v>0</v>
      </c>
      <c r="C56" s="87">
        <v>0</v>
      </c>
      <c r="D56" s="40">
        <v>2426875</v>
      </c>
      <c r="E56" s="40">
        <v>0</v>
      </c>
      <c r="F56" s="40">
        <v>0</v>
      </c>
      <c r="G56" s="40">
        <f>SUM(B56,D56:F56)</f>
        <v>2426875</v>
      </c>
    </row>
    <row r="57" spans="1:7" x14ac:dyDescent="0.4">
      <c r="A57" s="85">
        <v>43997</v>
      </c>
      <c r="B57" s="40">
        <v>0</v>
      </c>
      <c r="C57" s="87">
        <v>0</v>
      </c>
      <c r="D57" s="40">
        <v>2426875</v>
      </c>
      <c r="E57" s="40">
        <v>0</v>
      </c>
      <c r="F57" s="40">
        <v>0</v>
      </c>
      <c r="G57" s="40">
        <f>SUM(B57,D57:F57)</f>
        <v>2426875</v>
      </c>
    </row>
    <row r="59" spans="1:7" x14ac:dyDescent="0.4">
      <c r="A59" s="124" t="s">
        <v>53</v>
      </c>
      <c r="B59" s="124"/>
      <c r="C59" s="125"/>
      <c r="D59" s="125"/>
      <c r="E59" s="125"/>
      <c r="F59" s="125"/>
      <c r="G59" s="125"/>
    </row>
    <row r="60" spans="1:7" x14ac:dyDescent="0.4">
      <c r="A60" s="126" t="s">
        <v>92</v>
      </c>
      <c r="B60" s="126"/>
      <c r="C60" s="127"/>
      <c r="D60" s="127"/>
      <c r="E60" s="127"/>
      <c r="F60" s="127"/>
      <c r="G60" s="127"/>
    </row>
    <row r="61" spans="1:7" x14ac:dyDescent="0.4">
      <c r="A61" s="74"/>
      <c r="B61" s="75"/>
      <c r="C61" s="75"/>
      <c r="D61" s="75"/>
      <c r="E61" s="75"/>
      <c r="F61" s="75"/>
      <c r="G61" s="75"/>
    </row>
    <row r="62" spans="1:7" x14ac:dyDescent="0.4">
      <c r="A62" s="71" t="s">
        <v>60</v>
      </c>
      <c r="E62" s="76" t="s">
        <v>38</v>
      </c>
      <c r="F62" s="76" t="s">
        <v>40</v>
      </c>
    </row>
    <row r="63" spans="1:7" ht="13.5" thickBot="1" x14ac:dyDescent="0.45">
      <c r="A63" s="79" t="s">
        <v>30</v>
      </c>
      <c r="B63" s="80" t="s">
        <v>28</v>
      </c>
      <c r="C63" s="80" t="s">
        <v>32</v>
      </c>
      <c r="D63" s="80" t="s">
        <v>39</v>
      </c>
      <c r="E63" s="80" t="s">
        <v>39</v>
      </c>
      <c r="F63" s="80" t="s">
        <v>39</v>
      </c>
      <c r="G63" s="80" t="s">
        <v>41</v>
      </c>
    </row>
    <row r="64" spans="1:7" x14ac:dyDescent="0.4">
      <c r="A64" s="71"/>
      <c r="B64" s="76"/>
      <c r="C64" s="76"/>
      <c r="D64" s="76"/>
      <c r="E64" s="76"/>
      <c r="F64" s="76"/>
      <c r="G64" s="76"/>
    </row>
    <row r="65" spans="1:7" x14ac:dyDescent="0.4">
      <c r="A65" s="85">
        <v>43814</v>
      </c>
      <c r="B65" s="40">
        <v>340000</v>
      </c>
      <c r="C65" s="87">
        <v>0.03</v>
      </c>
      <c r="D65" s="40">
        <v>15526537.5</v>
      </c>
      <c r="E65" s="40">
        <v>0</v>
      </c>
      <c r="F65" s="40">
        <v>0</v>
      </c>
      <c r="G65" s="40">
        <f>SUM(B65,D65:F65)</f>
        <v>15866537.5</v>
      </c>
    </row>
    <row r="66" spans="1:7" x14ac:dyDescent="0.4">
      <c r="A66" s="85">
        <v>43997</v>
      </c>
      <c r="B66" s="40">
        <v>0</v>
      </c>
      <c r="C66" s="87">
        <v>0</v>
      </c>
      <c r="D66" s="40">
        <v>15521437.5</v>
      </c>
      <c r="E66" s="40">
        <v>0</v>
      </c>
      <c r="F66" s="40">
        <v>0</v>
      </c>
      <c r="G66" s="40">
        <f>SUM(B66,D66:F66)</f>
        <v>15521437.5</v>
      </c>
    </row>
    <row r="68" spans="1:7" x14ac:dyDescent="0.4">
      <c r="A68" s="124" t="s">
        <v>53</v>
      </c>
      <c r="B68" s="124"/>
      <c r="C68" s="125"/>
      <c r="D68" s="125"/>
      <c r="E68" s="125"/>
      <c r="F68" s="125"/>
      <c r="G68" s="125"/>
    </row>
    <row r="69" spans="1:7" x14ac:dyDescent="0.4">
      <c r="A69" s="126" t="s">
        <v>93</v>
      </c>
      <c r="B69" s="126"/>
      <c r="C69" s="127"/>
      <c r="D69" s="127"/>
      <c r="E69" s="127"/>
      <c r="F69" s="127"/>
      <c r="G69" s="127"/>
    </row>
    <row r="70" spans="1:7" x14ac:dyDescent="0.4">
      <c r="A70" s="74"/>
      <c r="B70" s="75"/>
      <c r="C70" s="75"/>
      <c r="D70" s="75"/>
      <c r="E70" s="75"/>
      <c r="F70" s="75"/>
      <c r="G70" s="75"/>
    </row>
    <row r="71" spans="1:7" x14ac:dyDescent="0.4">
      <c r="A71" s="71" t="s">
        <v>60</v>
      </c>
      <c r="E71" s="76" t="s">
        <v>38</v>
      </c>
      <c r="F71" s="76" t="s">
        <v>40</v>
      </c>
    </row>
    <row r="72" spans="1:7" ht="13.5" thickBot="1" x14ac:dyDescent="0.45">
      <c r="A72" s="79" t="s">
        <v>30</v>
      </c>
      <c r="B72" s="80" t="s">
        <v>28</v>
      </c>
      <c r="C72" s="80" t="s">
        <v>32</v>
      </c>
      <c r="D72" s="80" t="s">
        <v>39</v>
      </c>
      <c r="E72" s="80" t="s">
        <v>39</v>
      </c>
      <c r="F72" s="80" t="s">
        <v>39</v>
      </c>
      <c r="G72" s="80" t="s">
        <v>41</v>
      </c>
    </row>
    <row r="73" spans="1:7" x14ac:dyDescent="0.4">
      <c r="A73" s="71"/>
      <c r="B73" s="76"/>
      <c r="C73" s="76"/>
      <c r="D73" s="76"/>
      <c r="E73" s="76"/>
      <c r="F73" s="76"/>
      <c r="G73" s="76"/>
    </row>
    <row r="74" spans="1:7" x14ac:dyDescent="0.4">
      <c r="A74" s="85">
        <v>43814</v>
      </c>
      <c r="B74" s="40">
        <v>0</v>
      </c>
      <c r="C74" s="87">
        <v>0</v>
      </c>
      <c r="D74" s="40">
        <v>0</v>
      </c>
      <c r="E74" s="40">
        <v>0</v>
      </c>
      <c r="F74" s="40">
        <v>0</v>
      </c>
      <c r="G74" s="40">
        <f>SUM(B74,D74:F74)</f>
        <v>0</v>
      </c>
    </row>
    <row r="75" spans="1:7" x14ac:dyDescent="0.4">
      <c r="A75" s="85">
        <v>43997</v>
      </c>
      <c r="B75" s="40">
        <v>0</v>
      </c>
      <c r="C75" s="87">
        <v>0</v>
      </c>
      <c r="D75" s="40">
        <v>0</v>
      </c>
      <c r="E75" s="40">
        <v>0</v>
      </c>
      <c r="F75" s="40">
        <v>0</v>
      </c>
      <c r="G75" s="40">
        <f>SUM(B75,D75:F75)</f>
        <v>0</v>
      </c>
    </row>
    <row r="77" spans="1:7" x14ac:dyDescent="0.4">
      <c r="A77" s="124" t="s">
        <v>53</v>
      </c>
      <c r="B77" s="124"/>
      <c r="C77" s="125"/>
      <c r="D77" s="125"/>
      <c r="E77" s="125"/>
      <c r="F77" s="125"/>
      <c r="G77" s="125"/>
    </row>
    <row r="78" spans="1:7" x14ac:dyDescent="0.4">
      <c r="A78" s="126" t="s">
        <v>94</v>
      </c>
      <c r="B78" s="126"/>
      <c r="C78" s="127"/>
      <c r="D78" s="127"/>
      <c r="E78" s="127"/>
      <c r="F78" s="127"/>
      <c r="G78" s="127"/>
    </row>
    <row r="79" spans="1:7" x14ac:dyDescent="0.4">
      <c r="A79" s="74"/>
      <c r="B79" s="75"/>
      <c r="C79" s="75"/>
      <c r="D79" s="75"/>
      <c r="E79" s="75"/>
      <c r="F79" s="75"/>
      <c r="G79" s="75"/>
    </row>
    <row r="80" spans="1:7" x14ac:dyDescent="0.4">
      <c r="A80" s="71" t="s">
        <v>60</v>
      </c>
      <c r="E80" s="76" t="s">
        <v>38</v>
      </c>
      <c r="F80" s="76" t="s">
        <v>40</v>
      </c>
    </row>
    <row r="81" spans="1:7" ht="13.5" thickBot="1" x14ac:dyDescent="0.45">
      <c r="A81" s="79" t="s">
        <v>30</v>
      </c>
      <c r="B81" s="80" t="s">
        <v>28</v>
      </c>
      <c r="C81" s="80" t="s">
        <v>32</v>
      </c>
      <c r="D81" s="80" t="s">
        <v>39</v>
      </c>
      <c r="E81" s="80" t="s">
        <v>39</v>
      </c>
      <c r="F81" s="80" t="s">
        <v>39</v>
      </c>
      <c r="G81" s="80" t="s">
        <v>41</v>
      </c>
    </row>
    <row r="82" spans="1:7" x14ac:dyDescent="0.4">
      <c r="A82" s="71"/>
      <c r="B82" s="76"/>
      <c r="C82" s="76"/>
      <c r="D82" s="76"/>
      <c r="E82" s="76"/>
      <c r="F82" s="76"/>
      <c r="G82" s="76"/>
    </row>
    <row r="83" spans="1:7" x14ac:dyDescent="0.4">
      <c r="A83" s="85">
        <v>43814</v>
      </c>
      <c r="B83" s="40">
        <v>0</v>
      </c>
      <c r="C83" s="87">
        <v>0</v>
      </c>
      <c r="D83" s="40">
        <v>4176700</v>
      </c>
      <c r="E83" s="40">
        <v>0</v>
      </c>
      <c r="F83" s="40">
        <v>0</v>
      </c>
      <c r="G83" s="40">
        <f>SUM(B83,D83:F83)</f>
        <v>4176700</v>
      </c>
    </row>
    <row r="84" spans="1:7" x14ac:dyDescent="0.4">
      <c r="A84" s="85">
        <v>43997</v>
      </c>
      <c r="B84" s="40">
        <v>0</v>
      </c>
      <c r="C84" s="87">
        <v>0</v>
      </c>
      <c r="D84" s="40">
        <v>4176700</v>
      </c>
      <c r="E84" s="40">
        <v>0</v>
      </c>
      <c r="F84" s="40">
        <v>0</v>
      </c>
      <c r="G84" s="40">
        <f>SUM(B84,D84:F84)</f>
        <v>4176700</v>
      </c>
    </row>
    <row r="86" spans="1:7" x14ac:dyDescent="0.4">
      <c r="A86" s="124" t="s">
        <v>53</v>
      </c>
      <c r="B86" s="124"/>
      <c r="C86" s="125"/>
      <c r="D86" s="125"/>
      <c r="E86" s="125"/>
      <c r="F86" s="125"/>
      <c r="G86" s="125"/>
    </row>
    <row r="87" spans="1:7" x14ac:dyDescent="0.4">
      <c r="A87" s="126" t="s">
        <v>95</v>
      </c>
      <c r="B87" s="126"/>
      <c r="C87" s="127"/>
      <c r="D87" s="127"/>
      <c r="E87" s="127"/>
      <c r="F87" s="127"/>
      <c r="G87" s="127"/>
    </row>
    <row r="88" spans="1:7" x14ac:dyDescent="0.4">
      <c r="A88" s="74"/>
      <c r="B88" s="75"/>
      <c r="C88" s="75"/>
      <c r="D88" s="75"/>
      <c r="E88" s="75"/>
      <c r="F88" s="75"/>
      <c r="G88" s="75"/>
    </row>
    <row r="89" spans="1:7" x14ac:dyDescent="0.4">
      <c r="A89" s="71" t="s">
        <v>60</v>
      </c>
      <c r="E89" s="76" t="s">
        <v>38</v>
      </c>
      <c r="F89" s="76" t="s">
        <v>40</v>
      </c>
    </row>
    <row r="90" spans="1:7" ht="13.5" thickBot="1" x14ac:dyDescent="0.45">
      <c r="A90" s="79" t="s">
        <v>30</v>
      </c>
      <c r="B90" s="80" t="s">
        <v>28</v>
      </c>
      <c r="C90" s="80" t="s">
        <v>32</v>
      </c>
      <c r="D90" s="80" t="s">
        <v>39</v>
      </c>
      <c r="E90" s="80" t="s">
        <v>39</v>
      </c>
      <c r="F90" s="80" t="s">
        <v>39</v>
      </c>
      <c r="G90" s="80" t="s">
        <v>41</v>
      </c>
    </row>
    <row r="91" spans="1:7" x14ac:dyDescent="0.4">
      <c r="A91" s="71"/>
      <c r="B91" s="76"/>
      <c r="C91" s="76"/>
      <c r="D91" s="76"/>
      <c r="E91" s="76"/>
      <c r="F91" s="76"/>
      <c r="G91" s="76"/>
    </row>
    <row r="92" spans="1:7" x14ac:dyDescent="0.4">
      <c r="A92" s="85">
        <v>43814</v>
      </c>
      <c r="B92" s="40">
        <v>0</v>
      </c>
      <c r="C92" s="87">
        <v>0</v>
      </c>
      <c r="D92" s="40">
        <v>18269725</v>
      </c>
      <c r="E92" s="40">
        <v>0</v>
      </c>
      <c r="F92" s="40">
        <v>0</v>
      </c>
      <c r="G92" s="40">
        <f>SUM(B92,D92:F92)</f>
        <v>18269725</v>
      </c>
    </row>
    <row r="93" spans="1:7" x14ac:dyDescent="0.4">
      <c r="A93" s="85">
        <v>43997</v>
      </c>
      <c r="B93" s="40">
        <v>0</v>
      </c>
      <c r="C93" s="87">
        <v>0</v>
      </c>
      <c r="D93" s="40">
        <v>18269725</v>
      </c>
      <c r="E93" s="40">
        <v>0</v>
      </c>
      <c r="F93" s="40">
        <v>0</v>
      </c>
      <c r="G93" s="40">
        <f>SUM(B93,D93:F93)</f>
        <v>18269725</v>
      </c>
    </row>
    <row r="95" spans="1:7" x14ac:dyDescent="0.4">
      <c r="A95" s="124" t="s">
        <v>53</v>
      </c>
      <c r="B95" s="124"/>
      <c r="C95" s="125"/>
      <c r="D95" s="125"/>
      <c r="E95" s="125"/>
      <c r="F95" s="125"/>
      <c r="G95" s="125"/>
    </row>
    <row r="96" spans="1:7" x14ac:dyDescent="0.4">
      <c r="A96" s="126" t="s">
        <v>96</v>
      </c>
      <c r="B96" s="126"/>
      <c r="C96" s="127"/>
      <c r="D96" s="127"/>
      <c r="E96" s="127"/>
      <c r="F96" s="127"/>
      <c r="G96" s="127"/>
    </row>
    <row r="97" spans="1:7" x14ac:dyDescent="0.4">
      <c r="A97" s="74"/>
      <c r="B97" s="75"/>
      <c r="C97" s="75"/>
      <c r="D97" s="75"/>
      <c r="E97" s="75"/>
      <c r="F97" s="75"/>
      <c r="G97" s="75"/>
    </row>
    <row r="98" spans="1:7" x14ac:dyDescent="0.4">
      <c r="A98" s="71" t="s">
        <v>60</v>
      </c>
      <c r="E98" s="76" t="s">
        <v>38</v>
      </c>
      <c r="F98" s="76" t="s">
        <v>40</v>
      </c>
    </row>
    <row r="99" spans="1:7" ht="13.5" thickBot="1" x14ac:dyDescent="0.45">
      <c r="A99" s="79" t="s">
        <v>30</v>
      </c>
      <c r="B99" s="80" t="s">
        <v>28</v>
      </c>
      <c r="C99" s="80" t="s">
        <v>32</v>
      </c>
      <c r="D99" s="80" t="s">
        <v>39</v>
      </c>
      <c r="E99" s="80" t="s">
        <v>39</v>
      </c>
      <c r="F99" s="80" t="s">
        <v>39</v>
      </c>
      <c r="G99" s="80" t="s">
        <v>41</v>
      </c>
    </row>
    <row r="100" spans="1:7" x14ac:dyDescent="0.4">
      <c r="A100" s="71"/>
      <c r="B100" s="76"/>
      <c r="C100" s="76"/>
      <c r="D100" s="76"/>
      <c r="E100" s="76"/>
      <c r="F100" s="76"/>
      <c r="G100" s="76"/>
    </row>
    <row r="101" spans="1:7" x14ac:dyDescent="0.4">
      <c r="A101" s="85">
        <v>43814</v>
      </c>
      <c r="B101" s="40">
        <v>0</v>
      </c>
      <c r="C101" s="87">
        <v>0</v>
      </c>
      <c r="D101" s="40">
        <v>2537162.5</v>
      </c>
      <c r="E101" s="40">
        <v>0</v>
      </c>
      <c r="F101" s="40">
        <v>0</v>
      </c>
      <c r="G101" s="40">
        <f>SUM(B101,D101:F101)</f>
        <v>2537162.5</v>
      </c>
    </row>
    <row r="102" spans="1:7" x14ac:dyDescent="0.4">
      <c r="A102" s="85">
        <v>43997</v>
      </c>
      <c r="B102" s="40">
        <v>0</v>
      </c>
      <c r="C102" s="87">
        <v>0</v>
      </c>
      <c r="D102" s="40">
        <v>2537162.5</v>
      </c>
      <c r="E102" s="40">
        <v>0</v>
      </c>
      <c r="F102" s="40">
        <v>0</v>
      </c>
      <c r="G102" s="40">
        <f>SUM(B102,D102:F102)</f>
        <v>2537162.5</v>
      </c>
    </row>
    <row r="104" spans="1:7" x14ac:dyDescent="0.4">
      <c r="A104" s="124" t="s">
        <v>53</v>
      </c>
      <c r="B104" s="124"/>
      <c r="C104" s="125"/>
      <c r="D104" s="125"/>
      <c r="E104" s="125"/>
      <c r="F104" s="125"/>
      <c r="G104" s="125"/>
    </row>
    <row r="105" spans="1:7" x14ac:dyDescent="0.4">
      <c r="A105" s="126" t="s">
        <v>97</v>
      </c>
      <c r="B105" s="126"/>
      <c r="C105" s="127"/>
      <c r="D105" s="127"/>
      <c r="E105" s="127"/>
      <c r="F105" s="127"/>
      <c r="G105" s="127"/>
    </row>
    <row r="106" spans="1:7" x14ac:dyDescent="0.4">
      <c r="A106" s="74"/>
      <c r="B106" s="75"/>
      <c r="C106" s="75"/>
      <c r="D106" s="75"/>
      <c r="E106" s="75"/>
      <c r="F106" s="75"/>
      <c r="G106" s="75"/>
    </row>
    <row r="107" spans="1:7" x14ac:dyDescent="0.4">
      <c r="A107" s="71" t="s">
        <v>60</v>
      </c>
      <c r="E107" s="76" t="s">
        <v>38</v>
      </c>
      <c r="F107" s="76" t="s">
        <v>40</v>
      </c>
    </row>
    <row r="108" spans="1:7" ht="13.5" thickBot="1" x14ac:dyDescent="0.45">
      <c r="A108" s="79" t="s">
        <v>30</v>
      </c>
      <c r="B108" s="80" t="s">
        <v>28</v>
      </c>
      <c r="C108" s="80" t="s">
        <v>32</v>
      </c>
      <c r="D108" s="80" t="s">
        <v>39</v>
      </c>
      <c r="E108" s="80" t="s">
        <v>39</v>
      </c>
      <c r="F108" s="80" t="s">
        <v>39</v>
      </c>
      <c r="G108" s="80" t="s">
        <v>41</v>
      </c>
    </row>
    <row r="109" spans="1:7" x14ac:dyDescent="0.4">
      <c r="A109" s="71"/>
      <c r="B109" s="76"/>
      <c r="C109" s="76"/>
      <c r="D109" s="76"/>
      <c r="E109" s="76"/>
      <c r="F109" s="76"/>
      <c r="G109" s="76"/>
    </row>
    <row r="110" spans="1:7" x14ac:dyDescent="0.4">
      <c r="A110" s="85">
        <v>43814</v>
      </c>
      <c r="B110" s="40">
        <v>0</v>
      </c>
      <c r="C110" s="87">
        <v>0</v>
      </c>
      <c r="D110" s="40">
        <v>2055888.75</v>
      </c>
      <c r="E110" s="40">
        <v>0</v>
      </c>
      <c r="F110" s="40">
        <v>0</v>
      </c>
      <c r="G110" s="40">
        <f>SUM(B110,D110:F110)</f>
        <v>2055888.75</v>
      </c>
    </row>
    <row r="111" spans="1:7" x14ac:dyDescent="0.4">
      <c r="A111" s="85">
        <v>43997</v>
      </c>
      <c r="B111" s="40">
        <v>0</v>
      </c>
      <c r="C111" s="87">
        <v>0</v>
      </c>
      <c r="D111" s="40">
        <v>2055888.75</v>
      </c>
      <c r="E111" s="40">
        <v>0</v>
      </c>
      <c r="F111" s="40">
        <v>0</v>
      </c>
      <c r="G111" s="40">
        <f>SUM(B111,D111:F111)</f>
        <v>2055888.75</v>
      </c>
    </row>
    <row r="113" spans="1:7" x14ac:dyDescent="0.4">
      <c r="A113" s="124" t="s">
        <v>53</v>
      </c>
      <c r="B113" s="124"/>
      <c r="C113" s="125"/>
      <c r="D113" s="125"/>
      <c r="E113" s="125"/>
      <c r="F113" s="125"/>
      <c r="G113" s="125"/>
    </row>
    <row r="114" spans="1:7" x14ac:dyDescent="0.4">
      <c r="A114" s="126" t="s">
        <v>98</v>
      </c>
      <c r="B114" s="126"/>
      <c r="C114" s="127"/>
      <c r="D114" s="127"/>
      <c r="E114" s="127"/>
      <c r="F114" s="127"/>
      <c r="G114" s="127"/>
    </row>
    <row r="115" spans="1:7" x14ac:dyDescent="0.4">
      <c r="A115" s="74"/>
      <c r="B115" s="75"/>
      <c r="C115" s="75"/>
      <c r="D115" s="75"/>
      <c r="E115" s="75"/>
      <c r="F115" s="75"/>
      <c r="G115" s="75"/>
    </row>
    <row r="116" spans="1:7" x14ac:dyDescent="0.4">
      <c r="A116" s="71" t="s">
        <v>60</v>
      </c>
      <c r="E116" s="76" t="s">
        <v>38</v>
      </c>
      <c r="F116" s="76" t="s">
        <v>40</v>
      </c>
    </row>
    <row r="117" spans="1:7" ht="13.5" thickBot="1" x14ac:dyDescent="0.45">
      <c r="A117" s="79" t="s">
        <v>30</v>
      </c>
      <c r="B117" s="80" t="s">
        <v>28</v>
      </c>
      <c r="C117" s="80" t="s">
        <v>32</v>
      </c>
      <c r="D117" s="80" t="s">
        <v>39</v>
      </c>
      <c r="E117" s="80" t="s">
        <v>39</v>
      </c>
      <c r="F117" s="80" t="s">
        <v>39</v>
      </c>
      <c r="G117" s="80" t="s">
        <v>41</v>
      </c>
    </row>
    <row r="118" spans="1:7" x14ac:dyDescent="0.4">
      <c r="A118" s="71"/>
      <c r="B118" s="76"/>
      <c r="C118" s="76"/>
      <c r="D118" s="76"/>
      <c r="E118" s="76"/>
      <c r="F118" s="76"/>
      <c r="G118" s="76"/>
    </row>
    <row r="119" spans="1:7" x14ac:dyDescent="0.4">
      <c r="A119" s="85">
        <v>43814</v>
      </c>
      <c r="B119" s="40">
        <v>0</v>
      </c>
      <c r="C119" s="87">
        <v>0</v>
      </c>
      <c r="D119" s="40">
        <v>0</v>
      </c>
      <c r="E119" s="40">
        <v>0</v>
      </c>
      <c r="F119" s="40">
        <v>0</v>
      </c>
      <c r="G119" s="40">
        <f>SUM(B119,D119:F119)</f>
        <v>0</v>
      </c>
    </row>
    <row r="120" spans="1:7" x14ac:dyDescent="0.4">
      <c r="A120" s="85">
        <v>43997</v>
      </c>
      <c r="B120" s="40">
        <v>0</v>
      </c>
      <c r="C120" s="87">
        <v>0</v>
      </c>
      <c r="D120" s="40">
        <v>0</v>
      </c>
      <c r="E120" s="40">
        <v>0</v>
      </c>
      <c r="F120" s="40">
        <v>0</v>
      </c>
      <c r="G120" s="40">
        <f>SUM(B120,D120:F120)</f>
        <v>0</v>
      </c>
    </row>
    <row r="122" spans="1:7" x14ac:dyDescent="0.4">
      <c r="A122" s="124" t="s">
        <v>53</v>
      </c>
      <c r="B122" s="124"/>
      <c r="C122" s="125"/>
      <c r="D122" s="125"/>
      <c r="E122" s="125"/>
      <c r="F122" s="125"/>
      <c r="G122" s="125"/>
    </row>
    <row r="123" spans="1:7" x14ac:dyDescent="0.4">
      <c r="A123" s="126" t="s">
        <v>99</v>
      </c>
      <c r="B123" s="126"/>
      <c r="C123" s="127"/>
      <c r="D123" s="127"/>
      <c r="E123" s="127"/>
      <c r="F123" s="127"/>
      <c r="G123" s="127"/>
    </row>
    <row r="124" spans="1:7" x14ac:dyDescent="0.4">
      <c r="A124" s="74"/>
      <c r="B124" s="75"/>
      <c r="C124" s="75"/>
      <c r="D124" s="75"/>
      <c r="E124" s="75"/>
      <c r="F124" s="75"/>
      <c r="G124" s="75"/>
    </row>
    <row r="125" spans="1:7" x14ac:dyDescent="0.4">
      <c r="A125" s="71" t="s">
        <v>60</v>
      </c>
      <c r="E125" s="76" t="s">
        <v>38</v>
      </c>
      <c r="F125" s="76" t="s">
        <v>40</v>
      </c>
    </row>
    <row r="126" spans="1:7" ht="13.5" thickBot="1" x14ac:dyDescent="0.45">
      <c r="A126" s="79" t="s">
        <v>30</v>
      </c>
      <c r="B126" s="80" t="s">
        <v>28</v>
      </c>
      <c r="C126" s="80" t="s">
        <v>32</v>
      </c>
      <c r="D126" s="80" t="s">
        <v>39</v>
      </c>
      <c r="E126" s="80" t="s">
        <v>39</v>
      </c>
      <c r="F126" s="80" t="s">
        <v>39</v>
      </c>
      <c r="G126" s="80" t="s">
        <v>41</v>
      </c>
    </row>
    <row r="127" spans="1:7" x14ac:dyDescent="0.4">
      <c r="A127" s="71"/>
      <c r="B127" s="76"/>
      <c r="C127" s="76"/>
      <c r="D127" s="76"/>
      <c r="E127" s="76"/>
      <c r="F127" s="76"/>
      <c r="G127" s="76"/>
    </row>
    <row r="128" spans="1:7" x14ac:dyDescent="0.4">
      <c r="A128" s="85">
        <v>43814</v>
      </c>
      <c r="B128" s="40">
        <v>0</v>
      </c>
      <c r="C128" s="101">
        <v>0</v>
      </c>
      <c r="D128" s="40">
        <v>406862.5</v>
      </c>
      <c r="E128" s="40">
        <v>0</v>
      </c>
      <c r="F128" s="40">
        <v>0</v>
      </c>
      <c r="G128" s="40">
        <f>SUM(B128,D128:F128)</f>
        <v>406862.5</v>
      </c>
    </row>
    <row r="129" spans="1:7" x14ac:dyDescent="0.4">
      <c r="A129" s="85">
        <v>43997</v>
      </c>
      <c r="B129" s="40">
        <v>2850000</v>
      </c>
      <c r="C129" s="101">
        <v>5.5E-2</v>
      </c>
      <c r="D129" s="40">
        <v>406862.5</v>
      </c>
      <c r="E129" s="40">
        <v>0</v>
      </c>
      <c r="F129" s="40">
        <v>0</v>
      </c>
      <c r="G129" s="40">
        <f>SUM(B129,D129:F129)</f>
        <v>3256862.5</v>
      </c>
    </row>
    <row r="131" spans="1:7" x14ac:dyDescent="0.4">
      <c r="A131" s="124" t="s">
        <v>53</v>
      </c>
      <c r="B131" s="124"/>
      <c r="C131" s="125"/>
      <c r="D131" s="125"/>
      <c r="E131" s="125"/>
      <c r="F131" s="125"/>
      <c r="G131" s="125"/>
    </row>
    <row r="132" spans="1:7" x14ac:dyDescent="0.4">
      <c r="A132" s="126" t="s">
        <v>100</v>
      </c>
      <c r="B132" s="126"/>
      <c r="C132" s="127"/>
      <c r="D132" s="127"/>
      <c r="E132" s="127"/>
      <c r="F132" s="127"/>
      <c r="G132" s="127"/>
    </row>
    <row r="133" spans="1:7" x14ac:dyDescent="0.4">
      <c r="A133" s="74"/>
      <c r="B133" s="75"/>
      <c r="C133" s="75"/>
      <c r="D133" s="75"/>
      <c r="E133" s="75"/>
      <c r="F133" s="75"/>
      <c r="G133" s="75"/>
    </row>
    <row r="134" spans="1:7" x14ac:dyDescent="0.4">
      <c r="A134" s="71" t="s">
        <v>60</v>
      </c>
      <c r="E134" s="76" t="s">
        <v>38</v>
      </c>
      <c r="F134" s="76" t="s">
        <v>40</v>
      </c>
    </row>
    <row r="135" spans="1:7" ht="13.5" thickBot="1" x14ac:dyDescent="0.45">
      <c r="A135" s="79" t="s">
        <v>30</v>
      </c>
      <c r="B135" s="80" t="s">
        <v>28</v>
      </c>
      <c r="C135" s="80" t="s">
        <v>32</v>
      </c>
      <c r="D135" s="80" t="s">
        <v>39</v>
      </c>
      <c r="E135" s="80" t="s">
        <v>39</v>
      </c>
      <c r="F135" s="80" t="s">
        <v>39</v>
      </c>
      <c r="G135" s="80" t="s">
        <v>41</v>
      </c>
    </row>
    <row r="136" spans="1:7" x14ac:dyDescent="0.4">
      <c r="A136" s="71"/>
      <c r="B136" s="76"/>
      <c r="C136" s="76"/>
      <c r="D136" s="76"/>
      <c r="E136" s="76"/>
      <c r="F136" s="76"/>
      <c r="G136" s="76"/>
    </row>
    <row r="137" spans="1:7" x14ac:dyDescent="0.4">
      <c r="A137" s="85">
        <v>43814</v>
      </c>
      <c r="B137" s="40">
        <v>255000</v>
      </c>
      <c r="C137" s="87">
        <v>5.5E-2</v>
      </c>
      <c r="D137" s="40">
        <v>2239737.5</v>
      </c>
      <c r="E137" s="40">
        <v>0</v>
      </c>
      <c r="F137" s="40">
        <v>0</v>
      </c>
      <c r="G137" s="40">
        <f>SUM(B137,D137:F137)</f>
        <v>2494737.5</v>
      </c>
    </row>
    <row r="138" spans="1:7" x14ac:dyDescent="0.4">
      <c r="A138" s="85">
        <v>43997</v>
      </c>
      <c r="B138" s="40">
        <v>290000</v>
      </c>
      <c r="C138" s="87">
        <v>5.5E-2</v>
      </c>
      <c r="D138" s="40">
        <v>2232725</v>
      </c>
      <c r="E138" s="40">
        <v>0</v>
      </c>
      <c r="F138" s="40">
        <v>0</v>
      </c>
      <c r="G138" s="40">
        <f>SUM(B138,D138:F138)</f>
        <v>2522725</v>
      </c>
    </row>
    <row r="140" spans="1:7" x14ac:dyDescent="0.4">
      <c r="A140" s="124" t="s">
        <v>53</v>
      </c>
      <c r="B140" s="124"/>
      <c r="C140" s="125"/>
      <c r="D140" s="125"/>
      <c r="E140" s="125"/>
      <c r="F140" s="125"/>
      <c r="G140" s="125"/>
    </row>
    <row r="141" spans="1:7" x14ac:dyDescent="0.4">
      <c r="A141" s="126" t="s">
        <v>101</v>
      </c>
      <c r="B141" s="126"/>
      <c r="C141" s="127"/>
      <c r="D141" s="127"/>
      <c r="E141" s="127"/>
      <c r="F141" s="127"/>
      <c r="G141" s="127"/>
    </row>
    <row r="142" spans="1:7" x14ac:dyDescent="0.4">
      <c r="A142" s="74"/>
      <c r="B142" s="75"/>
      <c r="C142" s="75"/>
      <c r="D142" s="75"/>
      <c r="E142" s="75"/>
      <c r="F142" s="75"/>
      <c r="G142" s="75"/>
    </row>
    <row r="143" spans="1:7" x14ac:dyDescent="0.4">
      <c r="A143" s="71" t="s">
        <v>60</v>
      </c>
      <c r="E143" s="76" t="s">
        <v>38</v>
      </c>
      <c r="F143" s="76" t="s">
        <v>40</v>
      </c>
    </row>
    <row r="144" spans="1:7" ht="13.5" thickBot="1" x14ac:dyDescent="0.45">
      <c r="A144" s="79" t="s">
        <v>30</v>
      </c>
      <c r="B144" s="80" t="s">
        <v>28</v>
      </c>
      <c r="C144" s="80" t="s">
        <v>32</v>
      </c>
      <c r="D144" s="80" t="s">
        <v>39</v>
      </c>
      <c r="E144" s="80" t="s">
        <v>39</v>
      </c>
      <c r="F144" s="80" t="s">
        <v>39</v>
      </c>
      <c r="G144" s="80" t="s">
        <v>41</v>
      </c>
    </row>
    <row r="145" spans="1:7" x14ac:dyDescent="0.4">
      <c r="A145" s="71"/>
      <c r="B145" s="76"/>
      <c r="C145" s="76"/>
      <c r="D145" s="76"/>
      <c r="E145" s="76"/>
      <c r="F145" s="76"/>
      <c r="G145" s="76"/>
    </row>
    <row r="146" spans="1:7" x14ac:dyDescent="0.4">
      <c r="A146" s="85">
        <v>43814</v>
      </c>
      <c r="B146" s="40">
        <v>779430.75</v>
      </c>
      <c r="C146" s="87">
        <v>6.1499999999999999E-2</v>
      </c>
      <c r="D146" s="40">
        <v>0</v>
      </c>
      <c r="E146" s="40">
        <v>2395569.25</v>
      </c>
      <c r="F146" s="40">
        <v>0</v>
      </c>
      <c r="G146" s="40">
        <f>SUM(B146,D146:F146)</f>
        <v>3175000</v>
      </c>
    </row>
    <row r="147" spans="1:7" x14ac:dyDescent="0.4">
      <c r="A147" s="85">
        <v>43997</v>
      </c>
      <c r="B147" s="40">
        <v>0</v>
      </c>
      <c r="C147" s="87">
        <v>0</v>
      </c>
      <c r="D147" s="40">
        <v>0</v>
      </c>
      <c r="E147" s="40">
        <v>0</v>
      </c>
      <c r="F147" s="40">
        <v>0</v>
      </c>
      <c r="G147" s="40">
        <f>SUM(B147,D147:F147)</f>
        <v>0</v>
      </c>
    </row>
    <row r="149" spans="1:7" x14ac:dyDescent="0.4">
      <c r="A149" s="124" t="s">
        <v>53</v>
      </c>
      <c r="B149" s="124"/>
      <c r="C149" s="125"/>
      <c r="D149" s="125"/>
      <c r="E149" s="125"/>
      <c r="F149" s="125"/>
      <c r="G149" s="125"/>
    </row>
    <row r="150" spans="1:7" x14ac:dyDescent="0.4">
      <c r="A150" s="126" t="s">
        <v>102</v>
      </c>
      <c r="B150" s="126"/>
      <c r="C150" s="127"/>
      <c r="D150" s="127"/>
      <c r="E150" s="127"/>
      <c r="F150" s="127"/>
      <c r="G150" s="127"/>
    </row>
    <row r="151" spans="1:7" x14ac:dyDescent="0.4">
      <c r="A151" s="74"/>
      <c r="B151" s="75"/>
      <c r="C151" s="75"/>
      <c r="D151" s="75"/>
      <c r="E151" s="75"/>
      <c r="F151" s="75"/>
      <c r="G151" s="75"/>
    </row>
    <row r="152" spans="1:7" x14ac:dyDescent="0.4">
      <c r="A152" s="71" t="s">
        <v>60</v>
      </c>
      <c r="E152" s="76" t="s">
        <v>38</v>
      </c>
      <c r="F152" s="76" t="s">
        <v>40</v>
      </c>
    </row>
    <row r="153" spans="1:7" ht="13.5" thickBot="1" x14ac:dyDescent="0.45">
      <c r="A153" s="79" t="s">
        <v>30</v>
      </c>
      <c r="B153" s="80" t="s">
        <v>28</v>
      </c>
      <c r="C153" s="80" t="s">
        <v>32</v>
      </c>
      <c r="D153" s="80" t="s">
        <v>39</v>
      </c>
      <c r="E153" s="80" t="s">
        <v>39</v>
      </c>
      <c r="F153" s="80" t="s">
        <v>39</v>
      </c>
      <c r="G153" s="80" t="s">
        <v>41</v>
      </c>
    </row>
    <row r="154" spans="1:7" x14ac:dyDescent="0.4">
      <c r="A154" s="71"/>
      <c r="B154" s="76"/>
      <c r="C154" s="76"/>
      <c r="D154" s="76"/>
      <c r="E154" s="76"/>
      <c r="F154" s="76"/>
      <c r="G154" s="76"/>
    </row>
    <row r="155" spans="1:7" x14ac:dyDescent="0.4">
      <c r="A155" s="85">
        <v>43814</v>
      </c>
      <c r="B155" s="40">
        <v>0</v>
      </c>
      <c r="C155" s="87">
        <v>0</v>
      </c>
      <c r="D155" s="40">
        <v>0</v>
      </c>
      <c r="E155" s="40">
        <v>0</v>
      </c>
      <c r="F155" s="40">
        <v>0</v>
      </c>
      <c r="G155" s="40">
        <f>SUM(B155,D155:F155)</f>
        <v>0</v>
      </c>
    </row>
    <row r="156" spans="1:7" x14ac:dyDescent="0.4">
      <c r="A156" s="85">
        <v>43997</v>
      </c>
      <c r="B156" s="40">
        <v>1497247.5</v>
      </c>
      <c r="C156" s="87">
        <v>6.7000000000000004E-2</v>
      </c>
      <c r="D156" s="40">
        <v>0</v>
      </c>
      <c r="E156" s="40">
        <v>6797752.5</v>
      </c>
      <c r="F156" s="40">
        <v>0</v>
      </c>
      <c r="G156" s="40">
        <f>SUM(B156,D156:F156)</f>
        <v>8295000</v>
      </c>
    </row>
    <row r="158" spans="1:7" x14ac:dyDescent="0.4">
      <c r="A158" s="124" t="s">
        <v>53</v>
      </c>
      <c r="B158" s="124"/>
      <c r="C158" s="125"/>
      <c r="D158" s="125"/>
      <c r="E158" s="125"/>
      <c r="F158" s="125"/>
      <c r="G158" s="125"/>
    </row>
    <row r="159" spans="1:7" x14ac:dyDescent="0.4">
      <c r="A159" s="126" t="s">
        <v>103</v>
      </c>
      <c r="B159" s="126"/>
      <c r="C159" s="127"/>
      <c r="D159" s="127"/>
      <c r="E159" s="127"/>
      <c r="F159" s="127"/>
      <c r="G159" s="127"/>
    </row>
    <row r="160" spans="1:7" x14ac:dyDescent="0.4">
      <c r="A160" s="74"/>
      <c r="B160" s="75"/>
      <c r="C160" s="75"/>
      <c r="D160" s="75"/>
      <c r="E160" s="75"/>
      <c r="F160" s="75"/>
      <c r="G160" s="75"/>
    </row>
    <row r="161" spans="1:7" x14ac:dyDescent="0.4">
      <c r="A161" s="71" t="s">
        <v>60</v>
      </c>
      <c r="E161" s="76" t="s">
        <v>38</v>
      </c>
      <c r="F161" s="76" t="s">
        <v>40</v>
      </c>
    </row>
    <row r="162" spans="1:7" ht="13.5" thickBot="1" x14ac:dyDescent="0.45">
      <c r="A162" s="79" t="s">
        <v>30</v>
      </c>
      <c r="B162" s="80" t="s">
        <v>28</v>
      </c>
      <c r="C162" s="80" t="s">
        <v>32</v>
      </c>
      <c r="D162" s="80" t="s">
        <v>39</v>
      </c>
      <c r="E162" s="80" t="s">
        <v>39</v>
      </c>
      <c r="F162" s="80" t="s">
        <v>39</v>
      </c>
      <c r="G162" s="80" t="s">
        <v>41</v>
      </c>
    </row>
    <row r="163" spans="1:7" x14ac:dyDescent="0.4">
      <c r="A163" s="71"/>
      <c r="B163" s="76"/>
      <c r="C163" s="76"/>
      <c r="D163" s="76"/>
      <c r="E163" s="76"/>
      <c r="F163" s="76"/>
      <c r="G163" s="76"/>
    </row>
    <row r="164" spans="1:7" x14ac:dyDescent="0.4">
      <c r="A164" s="85">
        <v>43814</v>
      </c>
      <c r="B164" s="40">
        <v>0</v>
      </c>
      <c r="C164" s="87">
        <v>0</v>
      </c>
      <c r="D164" s="40">
        <v>0</v>
      </c>
      <c r="E164" s="40">
        <v>0</v>
      </c>
      <c r="F164" s="40">
        <v>0</v>
      </c>
      <c r="G164" s="40">
        <f>SUM(B164,D164:F164)</f>
        <v>0</v>
      </c>
    </row>
    <row r="165" spans="1:7" x14ac:dyDescent="0.4">
      <c r="A165" s="85">
        <v>43997</v>
      </c>
      <c r="B165" s="40">
        <v>535182.5</v>
      </c>
      <c r="C165" s="87">
        <v>6.7000000000000004E-2</v>
      </c>
      <c r="D165" s="40">
        <v>0</v>
      </c>
      <c r="E165" s="40">
        <v>2429817.5</v>
      </c>
      <c r="F165" s="40">
        <v>0</v>
      </c>
      <c r="G165" s="40">
        <f>SUM(B165,D165:F165)</f>
        <v>2965000</v>
      </c>
    </row>
    <row r="167" spans="1:7" x14ac:dyDescent="0.4">
      <c r="A167" s="124" t="s">
        <v>53</v>
      </c>
      <c r="B167" s="124"/>
      <c r="C167" s="125"/>
      <c r="D167" s="125"/>
      <c r="E167" s="125"/>
      <c r="F167" s="125"/>
      <c r="G167" s="125"/>
    </row>
    <row r="168" spans="1:7" x14ac:dyDescent="0.4">
      <c r="A168" s="126" t="s">
        <v>104</v>
      </c>
      <c r="B168" s="126"/>
      <c r="C168" s="127"/>
      <c r="D168" s="127"/>
      <c r="E168" s="127"/>
      <c r="F168" s="127"/>
      <c r="G168" s="127"/>
    </row>
    <row r="169" spans="1:7" x14ac:dyDescent="0.4">
      <c r="A169" s="74"/>
      <c r="B169" s="75"/>
      <c r="C169" s="75"/>
      <c r="D169" s="75"/>
      <c r="E169" s="75"/>
      <c r="F169" s="75"/>
      <c r="G169" s="75"/>
    </row>
    <row r="170" spans="1:7" x14ac:dyDescent="0.4">
      <c r="A170" s="71" t="s">
        <v>60</v>
      </c>
      <c r="E170" s="76" t="s">
        <v>38</v>
      </c>
      <c r="F170" s="76" t="s">
        <v>40</v>
      </c>
    </row>
    <row r="171" spans="1:7" ht="13.5" thickBot="1" x14ac:dyDescent="0.45">
      <c r="A171" s="79" t="s">
        <v>30</v>
      </c>
      <c r="B171" s="80" t="s">
        <v>28</v>
      </c>
      <c r="C171" s="80" t="s">
        <v>32</v>
      </c>
      <c r="D171" s="80" t="s">
        <v>39</v>
      </c>
      <c r="E171" s="80" t="s">
        <v>39</v>
      </c>
      <c r="F171" s="80" t="s">
        <v>39</v>
      </c>
      <c r="G171" s="80" t="s">
        <v>41</v>
      </c>
    </row>
    <row r="172" spans="1:7" x14ac:dyDescent="0.4">
      <c r="A172" s="71"/>
      <c r="B172" s="76"/>
      <c r="C172" s="76"/>
      <c r="D172" s="76"/>
      <c r="E172" s="76"/>
      <c r="F172" s="76"/>
      <c r="G172" s="76"/>
    </row>
    <row r="173" spans="1:7" x14ac:dyDescent="0.4">
      <c r="A173" s="85">
        <v>43814</v>
      </c>
      <c r="B173" s="40">
        <v>0</v>
      </c>
      <c r="C173" s="87">
        <v>0</v>
      </c>
      <c r="D173" s="40">
        <v>0</v>
      </c>
      <c r="E173" s="40">
        <v>0</v>
      </c>
      <c r="F173" s="40">
        <v>0</v>
      </c>
      <c r="G173" s="40">
        <f>SUM(B173,D173:F173)</f>
        <v>0</v>
      </c>
    </row>
    <row r="174" spans="1:7" x14ac:dyDescent="0.4">
      <c r="A174" s="85">
        <v>43997</v>
      </c>
      <c r="B174" s="40">
        <v>8747702.4499999993</v>
      </c>
      <c r="C174" s="87">
        <v>6.7500000000000004E-2</v>
      </c>
      <c r="D174" s="40">
        <v>0</v>
      </c>
      <c r="E174" s="40">
        <v>45347297.549999997</v>
      </c>
      <c r="F174" s="40">
        <v>0</v>
      </c>
      <c r="G174" s="40">
        <f>SUM(B174,D174:F174)</f>
        <v>54095000</v>
      </c>
    </row>
    <row r="176" spans="1:7" x14ac:dyDescent="0.4">
      <c r="A176" s="124" t="s">
        <v>85</v>
      </c>
      <c r="B176" s="124"/>
      <c r="C176" s="125"/>
      <c r="D176" s="125"/>
      <c r="E176" s="125"/>
      <c r="F176" s="125"/>
      <c r="G176" s="125"/>
    </row>
    <row r="177" spans="1:8" x14ac:dyDescent="0.4">
      <c r="A177" s="126"/>
      <c r="B177" s="126"/>
      <c r="C177" s="127"/>
      <c r="D177" s="127"/>
      <c r="E177" s="127"/>
      <c r="F177" s="127"/>
      <c r="G177" s="127"/>
    </row>
    <row r="178" spans="1:8" x14ac:dyDescent="0.4">
      <c r="A178" s="74"/>
      <c r="B178" s="75"/>
      <c r="C178" s="75"/>
      <c r="D178" s="75"/>
      <c r="E178" s="75"/>
      <c r="F178" s="75"/>
      <c r="G178" s="75"/>
    </row>
    <row r="179" spans="1:8" x14ac:dyDescent="0.4">
      <c r="A179" s="71" t="s">
        <v>60</v>
      </c>
      <c r="E179" s="76" t="s">
        <v>38</v>
      </c>
      <c r="F179" s="76" t="s">
        <v>40</v>
      </c>
    </row>
    <row r="180" spans="1:8" ht="13.5" thickBot="1" x14ac:dyDescent="0.45">
      <c r="A180" s="79" t="s">
        <v>30</v>
      </c>
      <c r="B180" s="80" t="s">
        <v>28</v>
      </c>
      <c r="C180" s="80" t="s">
        <v>32</v>
      </c>
      <c r="D180" s="80" t="s">
        <v>39</v>
      </c>
      <c r="E180" s="80" t="s">
        <v>39</v>
      </c>
      <c r="F180" s="80" t="s">
        <v>39</v>
      </c>
      <c r="G180" s="80" t="s">
        <v>41</v>
      </c>
    </row>
    <row r="181" spans="1:8" x14ac:dyDescent="0.4">
      <c r="A181" s="71"/>
      <c r="B181" s="76"/>
      <c r="C181" s="76"/>
      <c r="D181" s="76"/>
      <c r="E181" s="76"/>
      <c r="F181" s="76"/>
      <c r="G181" s="76"/>
    </row>
    <row r="182" spans="1:8" x14ac:dyDescent="0.4">
      <c r="A182" s="85">
        <v>43814</v>
      </c>
      <c r="B182" s="40">
        <v>1374430.75</v>
      </c>
      <c r="C182" s="123" t="s">
        <v>112</v>
      </c>
      <c r="D182" s="40">
        <v>58930863.75</v>
      </c>
      <c r="E182" s="40">
        <v>2395569.25</v>
      </c>
      <c r="F182" s="40">
        <v>0</v>
      </c>
      <c r="G182" s="40">
        <f>SUM(B182,D182:F182)</f>
        <v>62700863.75</v>
      </c>
      <c r="H182" s="40"/>
    </row>
    <row r="183" spans="1:8" x14ac:dyDescent="0.4">
      <c r="A183" s="85">
        <v>43997</v>
      </c>
      <c r="B183" s="40">
        <v>13920132.449999999</v>
      </c>
      <c r="C183" s="123" t="s">
        <v>112</v>
      </c>
      <c r="D183" s="40">
        <v>59450183.020833328</v>
      </c>
      <c r="E183" s="40">
        <v>54574867.549999997</v>
      </c>
      <c r="F183" s="40">
        <v>0</v>
      </c>
      <c r="G183" s="40">
        <f>SUM(B183,D183:F183)</f>
        <v>127945183.02083333</v>
      </c>
    </row>
    <row r="186" spans="1:8" ht="13.9" x14ac:dyDescent="0.4">
      <c r="A186" s="202">
        <f ca="1">NOW()</f>
        <v>43866.674479745372</v>
      </c>
      <c r="B186" s="202"/>
    </row>
  </sheetData>
  <mergeCells count="1">
    <mergeCell ref="A186:B186"/>
  </mergeCells>
  <pageMargins left="0.7" right="0.7" top="0.75" bottom="0.75" header="0.3" footer="0.3"/>
  <pageSetup fitToHeight="6" orientation="portrait" r:id="rId1"/>
  <rowBreaks count="3" manualBreakCount="3">
    <brk id="48" max="16383" man="1"/>
    <brk id="93" max="16383" man="1"/>
    <brk id="1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M52"/>
  <sheetViews>
    <sheetView zoomScaleNormal="100" workbookViewId="0">
      <selection activeCell="F7" sqref="F7"/>
    </sheetView>
  </sheetViews>
  <sheetFormatPr defaultColWidth="9.33203125" defaultRowHeight="13.9" x14ac:dyDescent="0.4"/>
  <cols>
    <col min="1" max="1" width="9.33203125" style="15"/>
    <col min="2" max="2" width="17.83203125" style="15" customWidth="1"/>
    <col min="3" max="3" width="13.5" style="15" customWidth="1"/>
    <col min="4" max="4" width="7" style="15" customWidth="1"/>
    <col min="5" max="5" width="1.1640625" style="15" customWidth="1"/>
    <col min="6" max="6" width="7" style="15" customWidth="1"/>
    <col min="7" max="7" width="1.1640625" style="15" customWidth="1"/>
    <col min="8" max="9" width="13.1640625" style="15" customWidth="1"/>
    <col min="10" max="12" width="7" style="15" customWidth="1"/>
    <col min="13" max="16384" width="9.33203125" style="15"/>
  </cols>
  <sheetData>
    <row r="3" spans="2:13" ht="19.899999999999999" x14ac:dyDescent="0.5">
      <c r="B3" s="27" t="e">
        <v>#VALUE!</v>
      </c>
      <c r="C3" s="27"/>
      <c r="D3" s="27"/>
      <c r="E3" s="27"/>
      <c r="F3" s="27"/>
      <c r="G3" s="27"/>
      <c r="H3" s="27"/>
      <c r="I3" s="27"/>
      <c r="J3" s="27"/>
      <c r="K3" s="27"/>
      <c r="L3" s="27"/>
    </row>
    <row r="5" spans="2:13" x14ac:dyDescent="0.4">
      <c r="B5" s="46" t="e">
        <v>#VALUE!</v>
      </c>
      <c r="G5" s="15" t="e">
        <v>#VALUE!</v>
      </c>
    </row>
    <row r="7" spans="2:13" x14ac:dyDescent="0.4">
      <c r="B7" s="15" t="e">
        <v>#VALUE!</v>
      </c>
      <c r="D7" s="16"/>
      <c r="F7" s="15" t="e">
        <v>#VALUE!</v>
      </c>
      <c r="K7" s="16" t="e">
        <v>#VALUE!</v>
      </c>
      <c r="L7" s="31"/>
      <c r="M7" s="31"/>
    </row>
    <row r="9" spans="2:13" x14ac:dyDescent="0.4">
      <c r="B9" s="15" t="e">
        <v>#VALUE!</v>
      </c>
      <c r="F9" s="16" t="e">
        <v>#VALUE!</v>
      </c>
      <c r="H9" s="15" t="e">
        <v>#VALUE!</v>
      </c>
      <c r="J9" s="17"/>
    </row>
    <row r="11" spans="2:13" x14ac:dyDescent="0.4">
      <c r="B11" s="15" t="e">
        <v>#VALUE!</v>
      </c>
      <c r="C11" s="17" t="e">
        <v>#VALUE!</v>
      </c>
      <c r="D11" s="17"/>
      <c r="E11" s="17"/>
      <c r="F11" s="17"/>
      <c r="G11" s="17"/>
      <c r="H11" s="17"/>
      <c r="I11" s="17"/>
      <c r="J11" s="17"/>
      <c r="K11" s="17"/>
      <c r="L11" s="17"/>
      <c r="M11" s="16"/>
    </row>
    <row r="12" spans="2:13" x14ac:dyDescent="0.4"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6"/>
    </row>
    <row r="14" spans="2:13" x14ac:dyDescent="0.4">
      <c r="B14" s="15" t="e">
        <v>#VALUE!</v>
      </c>
      <c r="C14" s="17" t="e">
        <v>#VALUE!</v>
      </c>
      <c r="D14" s="17"/>
      <c r="E14" s="17"/>
      <c r="F14" s="17"/>
      <c r="G14" s="17"/>
      <c r="H14" s="17"/>
      <c r="I14" s="17"/>
      <c r="J14" s="17"/>
      <c r="K14" s="17"/>
      <c r="L14" s="17"/>
      <c r="M14" s="16"/>
    </row>
    <row r="16" spans="2:13" x14ac:dyDescent="0.4">
      <c r="B16" s="15" t="e">
        <v>#VALUE!</v>
      </c>
      <c r="C16" s="18">
        <v>43809</v>
      </c>
      <c r="D16" s="19"/>
      <c r="E16" s="19"/>
      <c r="F16" s="19" t="e">
        <v>#VALUE!</v>
      </c>
      <c r="G16" s="19"/>
      <c r="H16" s="19"/>
      <c r="I16" s="19"/>
      <c r="J16" s="20" t="e">
        <v>#VALUE!</v>
      </c>
      <c r="K16" s="17"/>
      <c r="L16" s="17"/>
      <c r="M16" s="16"/>
    </row>
    <row r="18" spans="2:13" x14ac:dyDescent="0.4">
      <c r="B18" s="15" t="e">
        <v>#VALUE!</v>
      </c>
      <c r="D18" s="17" t="e">
        <v>#VALUE!</v>
      </c>
      <c r="E18" s="17"/>
      <c r="F18" s="17"/>
      <c r="G18" s="17"/>
      <c r="H18" s="17"/>
      <c r="I18" s="17"/>
      <c r="J18" s="17"/>
      <c r="K18" s="17"/>
      <c r="L18" s="17"/>
      <c r="M18" s="16"/>
    </row>
    <row r="19" spans="2:13" x14ac:dyDescent="0.4">
      <c r="D19" s="17" t="e">
        <v>#VALUE!</v>
      </c>
      <c r="E19" s="17"/>
      <c r="F19" s="17"/>
      <c r="G19" s="17"/>
      <c r="H19" s="17"/>
      <c r="I19" s="17"/>
      <c r="J19" s="17"/>
      <c r="K19" s="17"/>
      <c r="L19" s="17"/>
      <c r="M19" s="16"/>
    </row>
    <row r="20" spans="2:13" x14ac:dyDescent="0.4">
      <c r="D20" s="32"/>
      <c r="E20" s="32"/>
      <c r="F20" s="32"/>
      <c r="G20" s="32"/>
      <c r="H20" s="32"/>
      <c r="I20" s="32"/>
      <c r="J20" s="32"/>
      <c r="K20" s="32"/>
      <c r="L20" s="32"/>
      <c r="M20" s="30"/>
    </row>
    <row r="21" spans="2:13" x14ac:dyDescent="0.4">
      <c r="D21" s="32"/>
      <c r="E21" s="32"/>
      <c r="F21" s="32"/>
      <c r="G21" s="32"/>
      <c r="H21" s="32"/>
      <c r="I21" s="32"/>
      <c r="J21" s="32"/>
      <c r="K21" s="32"/>
      <c r="L21" s="32"/>
      <c r="M21" s="30"/>
    </row>
    <row r="22" spans="2:13" x14ac:dyDescent="0.4">
      <c r="D22" s="19"/>
      <c r="E22" s="19"/>
      <c r="F22" s="19"/>
      <c r="G22" s="19"/>
      <c r="H22" s="19"/>
      <c r="I22" s="19"/>
      <c r="J22" s="19"/>
      <c r="K22" s="19"/>
      <c r="L22" s="19"/>
      <c r="M22" s="31"/>
    </row>
    <row r="23" spans="2:13" x14ac:dyDescent="0.4">
      <c r="B23" s="15" t="e">
        <v>#VALUE!</v>
      </c>
      <c r="D23" s="21" t="e">
        <v>#VALUE!</v>
      </c>
      <c r="E23" s="17"/>
      <c r="F23" s="17"/>
      <c r="G23" s="17"/>
      <c r="H23" s="17"/>
      <c r="I23" s="17"/>
    </row>
    <row r="25" spans="2:13" x14ac:dyDescent="0.4">
      <c r="B25" s="15" t="e">
        <v>#VALUE!</v>
      </c>
      <c r="C25" s="23">
        <v>51302</v>
      </c>
      <c r="D25" s="25"/>
      <c r="E25" s="26"/>
      <c r="F25" s="26"/>
      <c r="G25" s="19"/>
      <c r="H25" s="19"/>
    </row>
    <row r="26" spans="2:13" x14ac:dyDescent="0.4">
      <c r="C26" s="24"/>
      <c r="D26" s="19"/>
      <c r="E26" s="19"/>
      <c r="F26" s="19"/>
      <c r="G26" s="19"/>
      <c r="H26" s="19"/>
    </row>
    <row r="27" spans="2:13" x14ac:dyDescent="0.4">
      <c r="B27" s="15" t="e">
        <v>#VALUE!</v>
      </c>
      <c r="C27" s="23">
        <v>43809</v>
      </c>
      <c r="D27" s="25"/>
      <c r="E27" s="26"/>
      <c r="F27" s="26"/>
      <c r="G27" s="19"/>
      <c r="H27" s="19"/>
    </row>
    <row r="28" spans="2:13" x14ac:dyDescent="0.4">
      <c r="D28" s="19"/>
      <c r="E28" s="19"/>
      <c r="F28" s="19"/>
      <c r="G28" s="19"/>
      <c r="H28" s="19"/>
    </row>
    <row r="29" spans="2:13" x14ac:dyDescent="0.4">
      <c r="B29" s="15" t="e">
        <v>#VALUE!</v>
      </c>
      <c r="H29" s="22">
        <v>44180</v>
      </c>
    </row>
    <row r="30" spans="2:13" x14ac:dyDescent="0.4">
      <c r="B30" s="15" t="e">
        <v>#VALUE!</v>
      </c>
      <c r="H30" s="22">
        <f>C25</f>
        <v>51302</v>
      </c>
    </row>
    <row r="32" spans="2:13" x14ac:dyDescent="0.4">
      <c r="B32" s="15" t="e">
        <v>#VALUE!</v>
      </c>
      <c r="H32" s="22">
        <v>43997</v>
      </c>
    </row>
    <row r="33" spans="2:13" x14ac:dyDescent="0.4">
      <c r="B33" s="15" t="e">
        <v>#VALUE!</v>
      </c>
      <c r="H33" s="22">
        <f>H30</f>
        <v>51302</v>
      </c>
    </row>
    <row r="36" spans="2:13" x14ac:dyDescent="0.4">
      <c r="D36" s="28" t="e">
        <v>#VALUE!</v>
      </c>
      <c r="F36" s="15" t="e">
        <v>#VALUE!</v>
      </c>
    </row>
    <row r="37" spans="2:13" x14ac:dyDescent="0.4">
      <c r="D37" s="29"/>
    </row>
    <row r="38" spans="2:13" x14ac:dyDescent="0.4">
      <c r="D38" s="28"/>
      <c r="F38" s="15" t="e">
        <v>#VALUE!</v>
      </c>
    </row>
    <row r="39" spans="2:13" x14ac:dyDescent="0.4">
      <c r="D39" s="29"/>
    </row>
    <row r="40" spans="2:13" x14ac:dyDescent="0.4">
      <c r="D40" s="28" t="e">
        <v>#VALUE!</v>
      </c>
      <c r="F40" s="15" t="e">
        <v>#VALUE!</v>
      </c>
    </row>
    <row r="41" spans="2:13" x14ac:dyDescent="0.4">
      <c r="D41" s="31"/>
      <c r="F41" s="15" t="e">
        <v>#VALUE!</v>
      </c>
    </row>
    <row r="42" spans="2:13" x14ac:dyDescent="0.4">
      <c r="D42" s="29"/>
    </row>
    <row r="43" spans="2:13" x14ac:dyDescent="0.4">
      <c r="D43" s="15" t="e">
        <v>#VALUE!</v>
      </c>
    </row>
    <row r="44" spans="2:13" x14ac:dyDescent="0.4">
      <c r="D44" s="15" t="e">
        <v>#VALUE!</v>
      </c>
    </row>
    <row r="47" spans="2:13" x14ac:dyDescent="0.4">
      <c r="H47" s="15" t="e">
        <v>#VALUE!</v>
      </c>
      <c r="J47" s="17"/>
      <c r="K47" s="17"/>
      <c r="L47" s="17"/>
      <c r="M47" s="17"/>
    </row>
    <row r="48" spans="2:13" x14ac:dyDescent="0.4">
      <c r="H48" s="15" t="e">
        <v>#VALUE!</v>
      </c>
      <c r="J48" s="199" t="e">
        <v>#VALUE!</v>
      </c>
      <c r="K48" s="199"/>
      <c r="L48" s="199"/>
      <c r="M48" s="199"/>
    </row>
    <row r="49" spans="2:13" x14ac:dyDescent="0.4">
      <c r="H49" s="15" t="e">
        <v>#VALUE!</v>
      </c>
      <c r="J49" s="200">
        <v>43850</v>
      </c>
      <c r="K49" s="199">
        <v>42613</v>
      </c>
      <c r="L49" s="199"/>
      <c r="M49" s="199"/>
    </row>
    <row r="50" spans="2:13" x14ac:dyDescent="0.4">
      <c r="H50" s="15" t="e">
        <v>#VALUE!</v>
      </c>
      <c r="J50" s="199" t="e">
        <v>#VALUE!</v>
      </c>
      <c r="K50" s="199" t="e">
        <v>#VALUE!</v>
      </c>
      <c r="L50" s="199"/>
      <c r="M50" s="199"/>
    </row>
    <row r="52" spans="2:13" x14ac:dyDescent="0.4">
      <c r="B52" s="15" t="e">
        <v>#VALUE!</v>
      </c>
    </row>
  </sheetData>
  <mergeCells count="3">
    <mergeCell ref="J48:M48"/>
    <mergeCell ref="J49:M49"/>
    <mergeCell ref="J50:M50"/>
  </mergeCells>
  <pageMargins left="0.25" right="0.25" top="0.75" bottom="0.75" header="0.3" footer="0.3"/>
  <pageSetup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1"/>
  <sheetViews>
    <sheetView zoomScaleNormal="100" zoomScaleSheetLayoutView="100" workbookViewId="0">
      <pane xSplit="1" ySplit="9" topLeftCell="B10" activePane="bottomRight" state="frozen"/>
      <selection activeCell="M7" sqref="M7"/>
      <selection pane="topRight" activeCell="M7" sqref="M7"/>
      <selection pane="bottomLeft" activeCell="M7" sqref="M7"/>
      <selection pane="bottomRight" activeCell="C30" sqref="C30"/>
    </sheetView>
  </sheetViews>
  <sheetFormatPr defaultColWidth="10.6640625" defaultRowHeight="13.15" x14ac:dyDescent="0.4"/>
  <cols>
    <col min="1" max="1" width="18.83203125" style="38" customWidth="1"/>
    <col min="2" max="2" width="7.5" style="38" customWidth="1"/>
    <col min="3" max="3" width="16.1640625" style="38" customWidth="1"/>
    <col min="4" max="4" width="4.5" style="38" customWidth="1"/>
    <col min="5" max="5" width="18.1640625" style="39" customWidth="1"/>
    <col min="6" max="6" width="4.5" style="39" customWidth="1"/>
    <col min="7" max="7" width="18.1640625" style="39" customWidth="1"/>
    <col min="8" max="8" width="4.5" style="39" customWidth="1"/>
    <col min="9" max="9" width="18.1640625" style="39" customWidth="1"/>
    <col min="10" max="10" width="4.5" style="39" customWidth="1"/>
    <col min="11" max="11" width="18.1640625" style="39" customWidth="1"/>
    <col min="12" max="12" width="4.5" style="39" customWidth="1"/>
    <col min="13" max="13" width="18.5" style="39" customWidth="1"/>
    <col min="14" max="14" width="19.83203125" style="39" customWidth="1"/>
    <col min="15" max="15" width="14.83203125" style="39" customWidth="1"/>
    <col min="16" max="16384" width="10.6640625" style="39"/>
  </cols>
  <sheetData>
    <row r="1" spans="1:14" s="36" customFormat="1" ht="17.649999999999999" x14ac:dyDescent="0.5">
      <c r="A1" s="192" t="str">
        <f>COI!A1</f>
        <v>MPEA 2019A Expansion Project Bond Deal</v>
      </c>
      <c r="B1" s="192"/>
      <c r="C1" s="51"/>
      <c r="D1" s="51"/>
      <c r="E1" s="51"/>
      <c r="F1" s="51"/>
      <c r="G1" s="51"/>
      <c r="H1" s="52"/>
      <c r="I1" s="51"/>
      <c r="J1" s="52"/>
      <c r="K1" s="53"/>
      <c r="L1" s="52"/>
      <c r="M1" s="53"/>
    </row>
    <row r="2" spans="1:14" s="36" customFormat="1" ht="17.649999999999999" x14ac:dyDescent="0.5">
      <c r="A2" s="50" t="s">
        <v>43</v>
      </c>
      <c r="B2" s="50"/>
      <c r="C2" s="51"/>
      <c r="D2" s="51"/>
      <c r="E2" s="51"/>
      <c r="F2" s="51"/>
      <c r="G2" s="51"/>
      <c r="H2" s="52"/>
      <c r="I2" s="51"/>
      <c r="J2" s="52"/>
      <c r="K2" s="53"/>
      <c r="L2" s="52"/>
      <c r="M2" s="53"/>
    </row>
    <row r="3" spans="1:14" s="35" customFormat="1" ht="15.4" x14ac:dyDescent="0.45">
      <c r="A3" s="54" t="s">
        <v>42</v>
      </c>
      <c r="B3" s="54"/>
      <c r="C3" s="55"/>
      <c r="D3" s="55"/>
      <c r="E3" s="55"/>
      <c r="F3" s="55"/>
      <c r="G3" s="55"/>
      <c r="H3" s="56"/>
      <c r="I3" s="55"/>
      <c r="J3" s="56"/>
      <c r="K3" s="57"/>
      <c r="L3" s="56"/>
      <c r="M3" s="57"/>
    </row>
    <row r="4" spans="1:14" s="34" customFormat="1" ht="13.9" x14ac:dyDescent="0.4">
      <c r="A4" s="8"/>
      <c r="B4" s="8"/>
      <c r="C4" s="8"/>
      <c r="D4" s="8"/>
      <c r="E4" s="11"/>
      <c r="F4" s="11"/>
      <c r="G4" s="11"/>
      <c r="H4" s="11"/>
      <c r="I4" s="11"/>
      <c r="J4" s="11"/>
      <c r="K4" s="11"/>
      <c r="L4" s="11"/>
      <c r="M4" s="11"/>
    </row>
    <row r="5" spans="1:14" s="34" customFormat="1" ht="13.9" x14ac:dyDescent="0.4">
      <c r="A5" s="8"/>
      <c r="B5" s="41" t="s">
        <v>31</v>
      </c>
      <c r="C5" s="8"/>
      <c r="D5" s="8"/>
      <c r="E5" s="42">
        <v>43809</v>
      </c>
      <c r="F5" s="11"/>
      <c r="G5" s="11"/>
      <c r="H5" s="11"/>
      <c r="I5" s="11"/>
      <c r="J5" s="11"/>
      <c r="K5" s="11"/>
      <c r="L5" s="11"/>
      <c r="M5" s="11"/>
    </row>
    <row r="6" spans="1:14" s="34" customFormat="1" ht="13.9" x14ac:dyDescent="0.4">
      <c r="A6" s="8"/>
      <c r="B6" s="8"/>
      <c r="C6" s="8"/>
      <c r="D6" s="8"/>
      <c r="E6" s="11"/>
      <c r="F6" s="11"/>
      <c r="G6" s="11"/>
      <c r="H6" s="11"/>
      <c r="I6" s="11"/>
      <c r="J6" s="11"/>
      <c r="K6" s="11"/>
      <c r="L6" s="11"/>
      <c r="M6" s="11"/>
    </row>
    <row r="7" spans="1:14" s="37" customFormat="1" ht="13.5" x14ac:dyDescent="0.35">
      <c r="A7" s="33" t="s">
        <v>28</v>
      </c>
      <c r="B7" s="33"/>
      <c r="C7" s="33" t="s">
        <v>32</v>
      </c>
      <c r="D7" s="33"/>
      <c r="E7" s="11"/>
      <c r="F7" s="11"/>
      <c r="G7" s="11"/>
      <c r="H7" s="11"/>
      <c r="I7" s="11"/>
      <c r="J7" s="11"/>
      <c r="K7" s="11"/>
      <c r="L7" s="11"/>
      <c r="M7" s="11"/>
    </row>
    <row r="8" spans="1:14" s="34" customFormat="1" ht="13.9" x14ac:dyDescent="0.4">
      <c r="A8" s="9" t="s">
        <v>29</v>
      </c>
      <c r="B8" s="9"/>
      <c r="C8" s="9" t="s">
        <v>33</v>
      </c>
      <c r="D8" s="9"/>
      <c r="E8" s="11" t="s">
        <v>35</v>
      </c>
      <c r="F8" s="11"/>
      <c r="G8" s="10"/>
      <c r="H8" s="11"/>
      <c r="I8" s="11" t="s">
        <v>38</v>
      </c>
      <c r="J8" s="11"/>
      <c r="K8" s="11" t="s">
        <v>40</v>
      </c>
      <c r="L8" s="11"/>
      <c r="M8" s="11"/>
      <c r="N8" s="11"/>
    </row>
    <row r="9" spans="1:14" s="34" customFormat="1" ht="13.9" x14ac:dyDescent="0.4">
      <c r="A9" s="12" t="s">
        <v>30</v>
      </c>
      <c r="B9" s="12"/>
      <c r="C9" s="12" t="s">
        <v>34</v>
      </c>
      <c r="D9" s="12"/>
      <c r="E9" s="10" t="s">
        <v>36</v>
      </c>
      <c r="F9" s="10"/>
      <c r="G9" s="10" t="s">
        <v>37</v>
      </c>
      <c r="H9" s="10"/>
      <c r="I9" s="10" t="s">
        <v>39</v>
      </c>
      <c r="J9" s="10"/>
      <c r="K9" s="10" t="s">
        <v>39</v>
      </c>
      <c r="L9" s="10"/>
      <c r="M9" s="10" t="s">
        <v>41</v>
      </c>
      <c r="N9" s="10"/>
    </row>
    <row r="10" spans="1:14" ht="13.9" x14ac:dyDescent="0.4">
      <c r="A10" s="8">
        <v>43814</v>
      </c>
      <c r="B10" s="8"/>
      <c r="C10" s="8"/>
      <c r="D10" s="6"/>
      <c r="E10" s="5"/>
      <c r="F10" s="45"/>
      <c r="G10" s="5"/>
      <c r="H10" s="45"/>
      <c r="I10" s="5"/>
      <c r="J10" s="45"/>
      <c r="K10" s="5"/>
      <c r="L10" s="45"/>
      <c r="M10" s="5">
        <f t="shared" ref="M10:M51" si="0">SUM(E10:L10)</f>
        <v>0</v>
      </c>
      <c r="N10" s="4"/>
    </row>
    <row r="11" spans="1:14" ht="13.9" x14ac:dyDescent="0.4">
      <c r="A11" s="8">
        <v>43997</v>
      </c>
      <c r="B11" s="8"/>
      <c r="C11" s="8"/>
      <c r="D11" s="6"/>
      <c r="E11" s="5"/>
      <c r="F11" s="45"/>
      <c r="G11" s="5">
        <v>531431.77</v>
      </c>
      <c r="H11" s="45"/>
      <c r="I11" s="5">
        <v>0</v>
      </c>
      <c r="J11" s="45"/>
      <c r="K11" s="5">
        <v>0</v>
      </c>
      <c r="L11" s="45"/>
      <c r="M11" s="5">
        <f t="shared" si="0"/>
        <v>531431.77</v>
      </c>
      <c r="N11" s="5"/>
    </row>
    <row r="12" spans="1:14" ht="13.9" x14ac:dyDescent="0.4">
      <c r="A12" s="8">
        <v>44180</v>
      </c>
      <c r="B12" s="8"/>
      <c r="C12" s="6">
        <v>2.75E-2</v>
      </c>
      <c r="D12" s="6"/>
      <c r="E12" s="5">
        <v>11705000</v>
      </c>
      <c r="F12" s="45"/>
      <c r="G12" s="5">
        <v>517068.75</v>
      </c>
      <c r="H12" s="45"/>
      <c r="I12" s="5">
        <v>0</v>
      </c>
      <c r="J12" s="45"/>
      <c r="K12" s="5">
        <v>0</v>
      </c>
      <c r="L12" s="45"/>
      <c r="M12" s="5">
        <f>SUM(E12:L12)</f>
        <v>12222068.75</v>
      </c>
      <c r="N12" s="4"/>
    </row>
    <row r="13" spans="1:14" ht="13.9" x14ac:dyDescent="0.4">
      <c r="A13" s="8">
        <v>44362</v>
      </c>
      <c r="B13" s="8"/>
      <c r="C13" s="6"/>
      <c r="D13" s="6"/>
      <c r="E13" s="5"/>
      <c r="F13" s="45"/>
      <c r="G13" s="5">
        <v>356125</v>
      </c>
      <c r="H13" s="45"/>
      <c r="I13" s="5">
        <v>0</v>
      </c>
      <c r="J13" s="45"/>
      <c r="K13" s="5">
        <v>0</v>
      </c>
      <c r="L13" s="45"/>
      <c r="M13" s="5">
        <f t="shared" si="0"/>
        <v>356125</v>
      </c>
      <c r="N13" s="5"/>
    </row>
    <row r="14" spans="1:14" ht="13.9" x14ac:dyDescent="0.4">
      <c r="A14" s="8">
        <v>44545</v>
      </c>
      <c r="B14" s="8"/>
      <c r="C14" s="6">
        <v>2.75E-2</v>
      </c>
      <c r="D14" s="6"/>
      <c r="E14" s="5">
        <v>620000</v>
      </c>
      <c r="F14" s="45"/>
      <c r="G14" s="5">
        <v>356125</v>
      </c>
      <c r="H14" s="45"/>
      <c r="I14" s="5">
        <v>0</v>
      </c>
      <c r="J14" s="45"/>
      <c r="K14" s="5">
        <v>0</v>
      </c>
      <c r="L14" s="45"/>
      <c r="M14" s="5">
        <f t="shared" si="0"/>
        <v>976125</v>
      </c>
      <c r="N14" s="4"/>
    </row>
    <row r="15" spans="1:14" ht="13.9" x14ac:dyDescent="0.4">
      <c r="A15" s="8">
        <v>44727</v>
      </c>
      <c r="B15" s="8"/>
      <c r="C15" s="6"/>
      <c r="D15" s="6"/>
      <c r="E15" s="5"/>
      <c r="F15" s="45"/>
      <c r="G15" s="5">
        <v>347600</v>
      </c>
      <c r="H15" s="45"/>
      <c r="I15" s="5">
        <v>0</v>
      </c>
      <c r="J15" s="45"/>
      <c r="K15" s="5">
        <v>0</v>
      </c>
      <c r="L15" s="45"/>
      <c r="M15" s="5">
        <f t="shared" si="0"/>
        <v>347600</v>
      </c>
      <c r="N15" s="5"/>
    </row>
    <row r="16" spans="1:14" ht="13.9" x14ac:dyDescent="0.4">
      <c r="A16" s="8">
        <v>44910</v>
      </c>
      <c r="B16" s="8"/>
      <c r="C16" s="6">
        <v>2.75E-2</v>
      </c>
      <c r="D16" s="6"/>
      <c r="E16" s="5">
        <v>19680000</v>
      </c>
      <c r="F16" s="45"/>
      <c r="G16" s="5">
        <v>347600</v>
      </c>
      <c r="H16" s="45"/>
      <c r="I16" s="5">
        <v>0</v>
      </c>
      <c r="J16" s="45"/>
      <c r="K16" s="5">
        <v>0</v>
      </c>
      <c r="L16" s="45"/>
      <c r="M16" s="5">
        <f t="shared" si="0"/>
        <v>20027600</v>
      </c>
      <c r="N16" s="4"/>
    </row>
    <row r="17" spans="1:14" ht="13.9" x14ac:dyDescent="0.4">
      <c r="A17" s="8">
        <v>45092</v>
      </c>
      <c r="B17" s="8"/>
      <c r="C17" s="6">
        <v>2.75E-2</v>
      </c>
      <c r="D17" s="6"/>
      <c r="E17" s="5">
        <v>5600000</v>
      </c>
      <c r="F17" s="45"/>
      <c r="G17" s="5">
        <v>77000</v>
      </c>
      <c r="H17" s="45"/>
      <c r="I17" s="5">
        <v>0</v>
      </c>
      <c r="J17" s="45"/>
      <c r="K17" s="5">
        <v>0</v>
      </c>
      <c r="L17" s="45"/>
      <c r="M17" s="5">
        <f t="shared" si="0"/>
        <v>5677000</v>
      </c>
      <c r="N17" s="5"/>
    </row>
    <row r="18" spans="1:14" ht="13.9" x14ac:dyDescent="0.4">
      <c r="A18" s="8">
        <v>45275</v>
      </c>
      <c r="B18" s="8"/>
      <c r="C18" s="6"/>
      <c r="D18" s="6"/>
      <c r="E18" s="5"/>
      <c r="F18" s="45"/>
      <c r="G18" s="5">
        <v>0</v>
      </c>
      <c r="H18" s="45"/>
      <c r="I18" s="5">
        <v>0</v>
      </c>
      <c r="J18" s="45"/>
      <c r="K18" s="5">
        <v>0</v>
      </c>
      <c r="L18" s="45"/>
      <c r="M18" s="5">
        <f t="shared" si="0"/>
        <v>0</v>
      </c>
      <c r="N18" s="4"/>
    </row>
    <row r="19" spans="1:14" ht="13.9" x14ac:dyDescent="0.4">
      <c r="A19" s="8">
        <v>45458</v>
      </c>
      <c r="B19" s="8"/>
      <c r="C19" s="6"/>
      <c r="D19" s="6"/>
      <c r="E19" s="5"/>
      <c r="F19" s="45"/>
      <c r="G19" s="5">
        <v>0</v>
      </c>
      <c r="H19" s="45"/>
      <c r="I19" s="5">
        <v>0</v>
      </c>
      <c r="J19" s="45"/>
      <c r="K19" s="5">
        <v>0</v>
      </c>
      <c r="L19" s="45"/>
      <c r="M19" s="5">
        <f t="shared" si="0"/>
        <v>0</v>
      </c>
      <c r="N19" s="5"/>
    </row>
    <row r="20" spans="1:14" ht="13.9" x14ac:dyDescent="0.4">
      <c r="A20" s="8">
        <v>45641</v>
      </c>
      <c r="B20" s="8"/>
      <c r="C20" s="6"/>
      <c r="D20" s="6"/>
      <c r="E20" s="5"/>
      <c r="F20" s="45"/>
      <c r="G20" s="5">
        <v>0</v>
      </c>
      <c r="H20" s="45"/>
      <c r="I20" s="5">
        <v>0</v>
      </c>
      <c r="J20" s="45"/>
      <c r="K20" s="5">
        <v>0</v>
      </c>
      <c r="L20" s="45"/>
      <c r="M20" s="5">
        <f t="shared" si="0"/>
        <v>0</v>
      </c>
      <c r="N20" s="4"/>
    </row>
    <row r="21" spans="1:14" ht="13.9" x14ac:dyDescent="0.4">
      <c r="A21" s="8">
        <v>45823</v>
      </c>
      <c r="B21" s="8"/>
      <c r="C21" s="6"/>
      <c r="D21" s="6"/>
      <c r="E21" s="5"/>
      <c r="F21" s="45"/>
      <c r="G21" s="5">
        <v>0</v>
      </c>
      <c r="H21" s="45"/>
      <c r="I21" s="5">
        <v>0</v>
      </c>
      <c r="J21" s="45"/>
      <c r="K21" s="5">
        <v>0</v>
      </c>
      <c r="L21" s="45"/>
      <c r="M21" s="5">
        <f t="shared" si="0"/>
        <v>0</v>
      </c>
      <c r="N21" s="5"/>
    </row>
    <row r="22" spans="1:14" ht="13.9" x14ac:dyDescent="0.4">
      <c r="A22" s="8">
        <v>46006</v>
      </c>
      <c r="B22" s="8"/>
      <c r="C22" s="6">
        <v>6.5000000000000002E-2</v>
      </c>
      <c r="D22" s="6"/>
      <c r="E22" s="5">
        <v>945304.8</v>
      </c>
      <c r="F22" s="45"/>
      <c r="G22" s="5">
        <v>832487.5</v>
      </c>
      <c r="H22" s="45"/>
      <c r="I22" s="5">
        <v>374695.19999999995</v>
      </c>
      <c r="J22" s="45"/>
      <c r="K22" s="5">
        <v>0</v>
      </c>
      <c r="L22" s="45"/>
      <c r="M22" s="5">
        <f t="shared" si="0"/>
        <v>2152487.5</v>
      </c>
      <c r="N22" s="4"/>
    </row>
    <row r="23" spans="1:14" ht="13.9" x14ac:dyDescent="0.4">
      <c r="A23" s="8">
        <v>46188</v>
      </c>
      <c r="B23" s="8"/>
      <c r="C23" s="6"/>
      <c r="D23" s="6"/>
      <c r="E23" s="5"/>
      <c r="F23" s="45"/>
      <c r="G23" s="5">
        <v>789587.5</v>
      </c>
      <c r="H23" s="45"/>
      <c r="I23" s="5"/>
      <c r="J23" s="45"/>
      <c r="K23" s="5">
        <v>0</v>
      </c>
      <c r="L23" s="45"/>
      <c r="M23" s="5">
        <f t="shared" si="0"/>
        <v>789587.5</v>
      </c>
      <c r="N23" s="5"/>
    </row>
    <row r="24" spans="1:14" ht="13.9" x14ac:dyDescent="0.4">
      <c r="A24" s="8">
        <v>46371</v>
      </c>
      <c r="B24" s="8"/>
      <c r="C24" s="6">
        <v>6.5000000000000002E-2</v>
      </c>
      <c r="D24" s="6"/>
      <c r="E24" s="5">
        <v>837883.8</v>
      </c>
      <c r="F24" s="45"/>
      <c r="G24" s="5">
        <v>789587.5</v>
      </c>
      <c r="H24" s="45"/>
      <c r="I24" s="5">
        <v>332116.19999999995</v>
      </c>
      <c r="J24" s="45"/>
      <c r="K24" s="5">
        <v>0</v>
      </c>
      <c r="L24" s="45"/>
      <c r="M24" s="5">
        <f t="shared" si="0"/>
        <v>1959587.5</v>
      </c>
      <c r="N24" s="4"/>
    </row>
    <row r="25" spans="1:14" ht="13.9" x14ac:dyDescent="0.4">
      <c r="A25" s="8">
        <v>46553</v>
      </c>
      <c r="B25" s="8"/>
      <c r="C25" s="6"/>
      <c r="D25" s="6"/>
      <c r="E25" s="5"/>
      <c r="F25" s="45"/>
      <c r="G25" s="5">
        <v>751562.5</v>
      </c>
      <c r="H25" s="45"/>
      <c r="I25" s="5"/>
      <c r="J25" s="45"/>
      <c r="K25" s="5">
        <v>0</v>
      </c>
      <c r="L25" s="45"/>
      <c r="M25" s="5">
        <f t="shared" si="0"/>
        <v>751562.5</v>
      </c>
      <c r="N25" s="5"/>
    </row>
    <row r="26" spans="1:14" ht="13.9" x14ac:dyDescent="0.4">
      <c r="A26" s="8">
        <v>46736</v>
      </c>
      <c r="B26" s="8"/>
      <c r="C26" s="6">
        <v>6.5000000000000002E-2</v>
      </c>
      <c r="D26" s="6"/>
      <c r="E26" s="5">
        <v>920239.9</v>
      </c>
      <c r="F26" s="45"/>
      <c r="G26" s="5">
        <v>751562.5</v>
      </c>
      <c r="H26" s="45"/>
      <c r="I26" s="5">
        <v>364760.1</v>
      </c>
      <c r="J26" s="45"/>
      <c r="K26" s="5">
        <v>0</v>
      </c>
      <c r="L26" s="45"/>
      <c r="M26" s="5">
        <f t="shared" si="0"/>
        <v>2036562.5</v>
      </c>
      <c r="N26" s="4"/>
    </row>
    <row r="27" spans="1:14" ht="13.9" x14ac:dyDescent="0.4">
      <c r="A27" s="8">
        <v>46919</v>
      </c>
      <c r="B27" s="8"/>
      <c r="C27" s="6"/>
      <c r="D27" s="6"/>
      <c r="E27" s="5"/>
      <c r="F27" s="45"/>
      <c r="G27" s="5">
        <v>709800</v>
      </c>
      <c r="H27" s="45"/>
      <c r="I27" s="5"/>
      <c r="J27" s="45"/>
      <c r="K27" s="5">
        <v>0</v>
      </c>
      <c r="L27" s="45"/>
      <c r="M27" s="5">
        <f t="shared" si="0"/>
        <v>709800</v>
      </c>
      <c r="N27" s="5"/>
    </row>
    <row r="28" spans="1:14" ht="13.9" x14ac:dyDescent="0.4">
      <c r="A28" s="8">
        <v>47102</v>
      </c>
      <c r="B28" s="8"/>
      <c r="C28" s="6">
        <v>6.5000000000000002E-2</v>
      </c>
      <c r="D28" s="6"/>
      <c r="E28" s="5">
        <v>952466.2</v>
      </c>
      <c r="F28" s="45"/>
      <c r="G28" s="5">
        <v>709800</v>
      </c>
      <c r="H28" s="45"/>
      <c r="I28" s="5">
        <v>377533.80000000005</v>
      </c>
      <c r="J28" s="45"/>
      <c r="K28" s="5">
        <v>0</v>
      </c>
      <c r="L28" s="45"/>
      <c r="M28" s="5">
        <f t="shared" si="0"/>
        <v>2039800</v>
      </c>
      <c r="N28" s="4"/>
    </row>
    <row r="29" spans="1:14" ht="13.9" x14ac:dyDescent="0.4">
      <c r="A29" s="8">
        <v>47284</v>
      </c>
      <c r="B29" s="8"/>
      <c r="C29" s="6"/>
      <c r="D29" s="6"/>
      <c r="E29" s="5"/>
      <c r="F29" s="45"/>
      <c r="G29" s="5">
        <v>666575</v>
      </c>
      <c r="H29" s="45"/>
      <c r="I29" s="5"/>
      <c r="J29" s="45"/>
      <c r="K29" s="5">
        <v>0</v>
      </c>
      <c r="L29" s="45"/>
      <c r="M29" s="5">
        <f t="shared" si="0"/>
        <v>666575</v>
      </c>
      <c r="N29" s="5"/>
    </row>
    <row r="30" spans="1:14" ht="13.9" x14ac:dyDescent="0.4">
      <c r="A30" s="8">
        <v>47467</v>
      </c>
      <c r="B30" s="8"/>
      <c r="C30" s="6"/>
      <c r="D30" s="6"/>
      <c r="E30" s="5"/>
      <c r="F30" s="45"/>
      <c r="G30" s="5">
        <v>666575</v>
      </c>
      <c r="H30" s="45"/>
      <c r="I30" s="5"/>
      <c r="J30" s="45"/>
      <c r="K30" s="5">
        <v>0</v>
      </c>
      <c r="L30" s="45"/>
      <c r="M30" s="5">
        <f t="shared" si="0"/>
        <v>666575</v>
      </c>
      <c r="N30" s="4"/>
    </row>
    <row r="31" spans="1:14" ht="13.9" x14ac:dyDescent="0.4">
      <c r="A31" s="8">
        <v>47649</v>
      </c>
      <c r="B31" s="8"/>
      <c r="C31" s="6">
        <v>6.5000000000000002E-2</v>
      </c>
      <c r="D31" s="6"/>
      <c r="E31" s="5">
        <v>981111.8</v>
      </c>
      <c r="F31" s="45"/>
      <c r="G31" s="5">
        <v>666575</v>
      </c>
      <c r="H31" s="45"/>
      <c r="I31" s="5">
        <v>388888.19999999995</v>
      </c>
      <c r="J31" s="45"/>
      <c r="K31" s="5">
        <v>0</v>
      </c>
      <c r="L31" s="45"/>
      <c r="M31" s="5">
        <f t="shared" si="0"/>
        <v>2036575</v>
      </c>
      <c r="N31" s="5"/>
    </row>
    <row r="32" spans="1:14" ht="13.9" x14ac:dyDescent="0.4">
      <c r="A32" s="8">
        <v>47832</v>
      </c>
      <c r="B32" s="8"/>
      <c r="C32" s="6"/>
      <c r="D32" s="6"/>
      <c r="E32" s="5"/>
      <c r="F32" s="45"/>
      <c r="G32" s="5">
        <v>622050</v>
      </c>
      <c r="H32" s="45"/>
      <c r="I32" s="5"/>
      <c r="J32" s="45"/>
      <c r="K32" s="5">
        <v>0</v>
      </c>
      <c r="L32" s="45"/>
      <c r="M32" s="5">
        <f t="shared" si="0"/>
        <v>622050</v>
      </c>
      <c r="N32" s="4"/>
    </row>
    <row r="33" spans="1:14" ht="13.9" x14ac:dyDescent="0.4">
      <c r="A33" s="8">
        <v>48014</v>
      </c>
      <c r="B33" s="8"/>
      <c r="C33" s="6">
        <v>6.5000000000000002E-2</v>
      </c>
      <c r="D33" s="6"/>
      <c r="E33" s="5">
        <v>1041983.7</v>
      </c>
      <c r="F33" s="45"/>
      <c r="G33" s="5">
        <v>622050</v>
      </c>
      <c r="H33" s="45"/>
      <c r="I33" s="5">
        <v>413016.30000000005</v>
      </c>
      <c r="J33" s="45"/>
      <c r="K33" s="5">
        <v>0</v>
      </c>
      <c r="L33" s="45"/>
      <c r="M33" s="5">
        <f t="shared" si="0"/>
        <v>2077050</v>
      </c>
      <c r="N33" s="5"/>
    </row>
    <row r="34" spans="1:14" ht="13.9" x14ac:dyDescent="0.4">
      <c r="A34" s="8">
        <v>48197</v>
      </c>
      <c r="B34" s="8"/>
      <c r="C34" s="6">
        <v>6.5000000000000002E-2</v>
      </c>
      <c r="D34" s="6"/>
      <c r="E34" s="5">
        <v>476233.1</v>
      </c>
      <c r="F34" s="45"/>
      <c r="G34" s="5">
        <v>574762.5</v>
      </c>
      <c r="H34" s="45"/>
      <c r="I34" s="5">
        <v>188766.90000000002</v>
      </c>
      <c r="J34" s="45"/>
      <c r="K34" s="5">
        <v>0</v>
      </c>
      <c r="L34" s="45"/>
      <c r="M34" s="5">
        <f t="shared" si="0"/>
        <v>1239762.5</v>
      </c>
      <c r="N34" s="4"/>
    </row>
    <row r="35" spans="1:14" ht="13.9" x14ac:dyDescent="0.4">
      <c r="A35" s="8">
        <v>48380</v>
      </c>
      <c r="B35" s="8"/>
      <c r="C35" s="6">
        <v>6.5000000000000002E-2</v>
      </c>
      <c r="D35" s="6"/>
      <c r="E35" s="5">
        <v>658848.80000000005</v>
      </c>
      <c r="F35" s="45"/>
      <c r="G35" s="5">
        <v>553150</v>
      </c>
      <c r="H35" s="45"/>
      <c r="I35" s="5">
        <v>261151.19999999995</v>
      </c>
      <c r="J35" s="45"/>
      <c r="K35" s="5">
        <v>0</v>
      </c>
      <c r="L35" s="45"/>
      <c r="M35" s="5">
        <f t="shared" si="0"/>
        <v>1473150</v>
      </c>
      <c r="N35" s="5"/>
    </row>
    <row r="36" spans="1:14" ht="13.9" x14ac:dyDescent="0.4">
      <c r="A36" s="8">
        <v>48563</v>
      </c>
      <c r="B36" s="8"/>
      <c r="C36" s="6">
        <v>6.5000000000000002E-2</v>
      </c>
      <c r="D36" s="6"/>
      <c r="E36" s="5">
        <v>436845.4</v>
      </c>
      <c r="F36" s="45"/>
      <c r="G36" s="5">
        <v>523250</v>
      </c>
      <c r="H36" s="45"/>
      <c r="I36" s="5">
        <v>173154.59999999998</v>
      </c>
      <c r="J36" s="45"/>
      <c r="K36" s="5">
        <v>0</v>
      </c>
      <c r="L36" s="45"/>
      <c r="M36" s="5">
        <f t="shared" si="0"/>
        <v>1133250</v>
      </c>
      <c r="N36" s="4"/>
    </row>
    <row r="37" spans="1:14" ht="13.9" x14ac:dyDescent="0.4">
      <c r="A37" s="8">
        <v>48745</v>
      </c>
      <c r="B37" s="8"/>
      <c r="C37" s="6">
        <v>6.5000000000000002E-2</v>
      </c>
      <c r="D37" s="6"/>
      <c r="E37" s="5">
        <v>759108.4</v>
      </c>
      <c r="F37" s="45"/>
      <c r="G37" s="5">
        <v>503425</v>
      </c>
      <c r="H37" s="45"/>
      <c r="I37" s="5">
        <v>300891.59999999998</v>
      </c>
      <c r="J37" s="45"/>
      <c r="K37" s="5">
        <v>0</v>
      </c>
      <c r="L37" s="45"/>
      <c r="M37" s="5">
        <f t="shared" si="0"/>
        <v>1563425</v>
      </c>
      <c r="N37" s="5"/>
    </row>
    <row r="38" spans="1:14" ht="13.9" x14ac:dyDescent="0.4">
      <c r="A38" s="8">
        <v>48928</v>
      </c>
      <c r="B38" s="8"/>
      <c r="C38" s="6">
        <v>6.5000000000000002E-2</v>
      </c>
      <c r="D38" s="6"/>
      <c r="E38" s="5">
        <v>418941.9</v>
      </c>
      <c r="F38" s="45"/>
      <c r="G38" s="5">
        <v>468975</v>
      </c>
      <c r="H38" s="45"/>
      <c r="I38" s="5">
        <v>166058.09999999998</v>
      </c>
      <c r="J38" s="45"/>
      <c r="K38" s="5">
        <v>0</v>
      </c>
      <c r="L38" s="45"/>
      <c r="M38" s="5">
        <f t="shared" si="0"/>
        <v>1053975</v>
      </c>
      <c r="N38" s="4"/>
    </row>
    <row r="39" spans="1:14" ht="13.9" x14ac:dyDescent="0.4">
      <c r="A39" s="8">
        <v>49110</v>
      </c>
      <c r="B39" s="8"/>
      <c r="C39" s="6">
        <v>6.5000000000000002E-2</v>
      </c>
      <c r="D39" s="6"/>
      <c r="E39" s="5">
        <v>862948.7</v>
      </c>
      <c r="F39" s="45"/>
      <c r="G39" s="5">
        <v>449962.5</v>
      </c>
      <c r="H39" s="45"/>
      <c r="I39" s="5">
        <v>342051.30000000005</v>
      </c>
      <c r="J39" s="45"/>
      <c r="K39" s="5">
        <v>0</v>
      </c>
      <c r="L39" s="45"/>
      <c r="M39" s="5">
        <f t="shared" si="0"/>
        <v>1654962.5</v>
      </c>
      <c r="N39" s="5"/>
    </row>
    <row r="40" spans="1:14" ht="13.9" x14ac:dyDescent="0.4">
      <c r="A40" s="8">
        <v>49293</v>
      </c>
      <c r="B40" s="8"/>
      <c r="C40" s="6">
        <v>6.5000000000000002E-2</v>
      </c>
      <c r="D40" s="6"/>
      <c r="E40" s="5">
        <v>386715.6</v>
      </c>
      <c r="F40" s="45"/>
      <c r="G40" s="5">
        <v>410800</v>
      </c>
      <c r="H40" s="45"/>
      <c r="I40" s="5">
        <v>153284.40000000002</v>
      </c>
      <c r="J40" s="45"/>
      <c r="K40" s="5">
        <v>0</v>
      </c>
      <c r="L40" s="45"/>
      <c r="M40" s="5">
        <f t="shared" si="0"/>
        <v>950800</v>
      </c>
      <c r="N40" s="4"/>
    </row>
    <row r="41" spans="1:14" ht="13.9" x14ac:dyDescent="0.4">
      <c r="A41" s="8">
        <v>49475</v>
      </c>
      <c r="B41" s="8"/>
      <c r="C41" s="6">
        <v>6.5000000000000002E-2</v>
      </c>
      <c r="D41" s="6"/>
      <c r="E41" s="5">
        <v>970369.7</v>
      </c>
      <c r="F41" s="45"/>
      <c r="G41" s="5">
        <v>393250</v>
      </c>
      <c r="H41" s="45"/>
      <c r="I41" s="5">
        <v>384630.30000000005</v>
      </c>
      <c r="J41" s="45"/>
      <c r="K41" s="5">
        <v>0</v>
      </c>
      <c r="L41" s="45"/>
      <c r="M41" s="5">
        <f t="shared" si="0"/>
        <v>1748250</v>
      </c>
      <c r="N41" s="5"/>
    </row>
    <row r="42" spans="1:14" ht="13.9" x14ac:dyDescent="0.4">
      <c r="A42" s="8">
        <v>49658</v>
      </c>
      <c r="B42" s="8"/>
      <c r="C42" s="6">
        <v>6.5000000000000002E-2</v>
      </c>
      <c r="D42" s="6"/>
      <c r="E42" s="5">
        <v>365231.4</v>
      </c>
      <c r="F42" s="45"/>
      <c r="G42" s="5">
        <v>349212.5</v>
      </c>
      <c r="H42" s="45"/>
      <c r="I42" s="5">
        <v>144768.59999999998</v>
      </c>
      <c r="J42" s="45"/>
      <c r="K42" s="5">
        <v>0</v>
      </c>
      <c r="L42" s="45"/>
      <c r="M42" s="5">
        <f t="shared" si="0"/>
        <v>859212.5</v>
      </c>
      <c r="N42" s="4"/>
    </row>
    <row r="43" spans="1:14" ht="13.9" x14ac:dyDescent="0.4">
      <c r="A43" s="8">
        <v>49841</v>
      </c>
      <c r="B43" s="8"/>
      <c r="C43" s="6">
        <v>6.5000000000000002E-2</v>
      </c>
      <c r="D43" s="6"/>
      <c r="E43" s="5">
        <v>1084952.1000000001</v>
      </c>
      <c r="F43" s="45"/>
      <c r="G43" s="5">
        <v>332637.5</v>
      </c>
      <c r="H43" s="45"/>
      <c r="I43" s="5">
        <v>430047.89999999991</v>
      </c>
      <c r="J43" s="45"/>
      <c r="K43" s="5">
        <v>0</v>
      </c>
      <c r="L43" s="45"/>
      <c r="M43" s="5">
        <f t="shared" si="0"/>
        <v>1847637.5</v>
      </c>
      <c r="N43" s="5"/>
    </row>
    <row r="44" spans="1:14" ht="13.9" x14ac:dyDescent="0.4">
      <c r="A44" s="8">
        <v>50024</v>
      </c>
      <c r="B44" s="8"/>
      <c r="C44" s="6">
        <v>6.5000000000000002E-2</v>
      </c>
      <c r="D44" s="6"/>
      <c r="E44" s="5">
        <v>630203.19999999995</v>
      </c>
      <c r="F44" s="45"/>
      <c r="G44" s="5">
        <v>283400</v>
      </c>
      <c r="H44" s="45"/>
      <c r="I44" s="5">
        <v>249796.80000000005</v>
      </c>
      <c r="J44" s="45"/>
      <c r="K44" s="5">
        <v>0</v>
      </c>
      <c r="L44" s="45"/>
      <c r="M44" s="5">
        <f t="shared" si="0"/>
        <v>1163400</v>
      </c>
      <c r="N44" s="4"/>
    </row>
    <row r="45" spans="1:14" ht="13.9" x14ac:dyDescent="0.4">
      <c r="A45" s="8">
        <v>50206</v>
      </c>
      <c r="B45" s="8"/>
      <c r="C45" s="6">
        <v>6.5000000000000002E-2</v>
      </c>
      <c r="D45" s="6"/>
      <c r="E45" s="5">
        <v>920239.9</v>
      </c>
      <c r="F45" s="45"/>
      <c r="G45" s="5">
        <v>254800</v>
      </c>
      <c r="H45" s="45"/>
      <c r="I45" s="5">
        <v>364760.1</v>
      </c>
      <c r="J45" s="45"/>
      <c r="K45" s="5">
        <v>0</v>
      </c>
      <c r="L45" s="45"/>
      <c r="M45" s="5">
        <f t="shared" si="0"/>
        <v>1539800</v>
      </c>
      <c r="N45" s="5"/>
    </row>
    <row r="46" spans="1:14" ht="13.9" x14ac:dyDescent="0.4">
      <c r="A46" s="8">
        <v>50389</v>
      </c>
      <c r="B46" s="8"/>
      <c r="C46" s="6">
        <v>6.5000000000000002E-2</v>
      </c>
      <c r="D46" s="6"/>
      <c r="E46" s="5">
        <v>837883.8</v>
      </c>
      <c r="F46" s="45"/>
      <c r="G46" s="5">
        <v>213037.5</v>
      </c>
      <c r="H46" s="45"/>
      <c r="I46" s="5">
        <v>332116.19999999995</v>
      </c>
      <c r="J46" s="45"/>
      <c r="K46" s="5">
        <v>0</v>
      </c>
      <c r="L46" s="45"/>
      <c r="M46" s="5">
        <f t="shared" si="0"/>
        <v>1383037.5</v>
      </c>
      <c r="N46" s="4"/>
    </row>
    <row r="47" spans="1:14" ht="13.9" x14ac:dyDescent="0.4">
      <c r="A47" s="8">
        <v>50571</v>
      </c>
      <c r="B47" s="8"/>
      <c r="C47" s="6">
        <v>6.5000000000000002E-2</v>
      </c>
      <c r="D47" s="6"/>
      <c r="E47" s="5">
        <v>823561</v>
      </c>
      <c r="F47" s="45"/>
      <c r="G47" s="5">
        <v>175012.5</v>
      </c>
      <c r="H47" s="45"/>
      <c r="I47" s="5">
        <v>326439</v>
      </c>
      <c r="J47" s="45"/>
      <c r="K47" s="5">
        <v>0</v>
      </c>
      <c r="L47" s="45"/>
      <c r="M47" s="5">
        <f t="shared" si="0"/>
        <v>1325012.5</v>
      </c>
      <c r="N47" s="5"/>
    </row>
    <row r="48" spans="1:14" ht="13.9" x14ac:dyDescent="0.4">
      <c r="A48" s="8">
        <v>50754</v>
      </c>
      <c r="B48" s="8"/>
      <c r="C48" s="6">
        <v>6.5000000000000002E-2</v>
      </c>
      <c r="D48" s="6"/>
      <c r="E48" s="5">
        <v>888013.6</v>
      </c>
      <c r="F48" s="45"/>
      <c r="G48" s="5">
        <v>137637.5</v>
      </c>
      <c r="H48" s="45"/>
      <c r="I48" s="5">
        <v>351986.4</v>
      </c>
      <c r="J48" s="45"/>
      <c r="K48" s="5">
        <v>0</v>
      </c>
      <c r="L48" s="45"/>
      <c r="M48" s="5">
        <f t="shared" si="0"/>
        <v>1377637.5</v>
      </c>
      <c r="N48" s="4"/>
    </row>
    <row r="49" spans="1:14" ht="13.9" x14ac:dyDescent="0.4">
      <c r="A49" s="8">
        <v>50936</v>
      </c>
      <c r="B49" s="8"/>
      <c r="C49" s="6">
        <v>6.5000000000000002E-2</v>
      </c>
      <c r="D49" s="6"/>
      <c r="E49" s="5">
        <v>880852.2</v>
      </c>
      <c r="F49" s="45"/>
      <c r="G49" s="5">
        <v>97337.5</v>
      </c>
      <c r="H49" s="45"/>
      <c r="I49" s="5">
        <v>349147.80000000005</v>
      </c>
      <c r="J49" s="45"/>
      <c r="K49" s="5">
        <v>0</v>
      </c>
      <c r="L49" s="45"/>
      <c r="M49" s="5">
        <f t="shared" si="0"/>
        <v>1327337.5</v>
      </c>
      <c r="N49" s="5"/>
    </row>
    <row r="50" spans="1:14" ht="13.9" x14ac:dyDescent="0.4">
      <c r="A50" s="8">
        <v>51119</v>
      </c>
      <c r="B50" s="8"/>
      <c r="C50" s="6">
        <v>6.5000000000000002E-2</v>
      </c>
      <c r="D50" s="6"/>
      <c r="E50" s="5">
        <v>666010.19999999995</v>
      </c>
      <c r="F50" s="45"/>
      <c r="G50" s="5">
        <v>57362.5</v>
      </c>
      <c r="H50" s="45"/>
      <c r="I50" s="5">
        <v>263989.80000000005</v>
      </c>
      <c r="J50" s="45"/>
      <c r="K50" s="5">
        <v>0</v>
      </c>
      <c r="L50" s="45"/>
      <c r="M50" s="5">
        <f t="shared" si="0"/>
        <v>987362.5</v>
      </c>
      <c r="N50" s="4"/>
    </row>
    <row r="51" spans="1:14" ht="13.9" x14ac:dyDescent="0.4">
      <c r="A51" s="8">
        <v>51302</v>
      </c>
      <c r="B51" s="8"/>
      <c r="C51" s="6">
        <v>6.5000000000000002E-2</v>
      </c>
      <c r="D51" s="6"/>
      <c r="E51" s="5">
        <v>597976.9</v>
      </c>
      <c r="F51" s="45"/>
      <c r="G51" s="5">
        <v>27137.5</v>
      </c>
      <c r="H51" s="45"/>
      <c r="I51" s="5">
        <v>237023.09999999998</v>
      </c>
      <c r="J51" s="45"/>
      <c r="K51" s="5">
        <v>0</v>
      </c>
      <c r="L51" s="45"/>
      <c r="M51" s="5">
        <f t="shared" si="0"/>
        <v>862137.5</v>
      </c>
      <c r="N51" s="5"/>
    </row>
    <row r="52" spans="1:14" ht="13.9" x14ac:dyDescent="0.4">
      <c r="A52" s="8"/>
      <c r="B52" s="8"/>
      <c r="C52" s="8"/>
      <c r="D52" s="8"/>
      <c r="E52" s="44"/>
      <c r="F52" s="43"/>
      <c r="G52" s="44"/>
      <c r="H52" s="43"/>
      <c r="I52" s="44"/>
      <c r="J52" s="43"/>
      <c r="K52" s="44"/>
      <c r="L52" s="43"/>
      <c r="M52" s="44"/>
      <c r="N52" s="4"/>
    </row>
    <row r="53" spans="1:14" ht="14.25" thickBot="1" x14ac:dyDescent="0.45">
      <c r="A53" s="8"/>
      <c r="B53" s="8"/>
      <c r="C53" s="8" t="s">
        <v>44</v>
      </c>
      <c r="D53" s="8"/>
      <c r="E53" s="49">
        <f>SUM(E10:E52)</f>
        <v>55948926.100000001</v>
      </c>
      <c r="F53" s="43"/>
      <c r="G53" s="49">
        <f>SUM(G10:G52)</f>
        <v>16916313.02</v>
      </c>
      <c r="H53" s="43"/>
      <c r="I53" s="49">
        <f>SUM(I10:I52)</f>
        <v>7271073.8999999985</v>
      </c>
      <c r="J53" s="43"/>
      <c r="K53" s="49">
        <f>SUM(K10:K52)</f>
        <v>0</v>
      </c>
      <c r="L53" s="43"/>
      <c r="M53" s="49">
        <f>SUM(M10:M52)</f>
        <v>80136313.019999996</v>
      </c>
      <c r="N53" s="4"/>
    </row>
    <row r="54" spans="1:14" ht="14.25" thickTop="1" x14ac:dyDescent="0.4">
      <c r="A54" s="8"/>
      <c r="B54" s="8"/>
      <c r="C54" s="8"/>
      <c r="D54" s="8"/>
      <c r="E54" s="43"/>
      <c r="F54" s="43"/>
      <c r="G54" s="43"/>
      <c r="H54" s="43"/>
      <c r="I54" s="43"/>
      <c r="J54" s="43"/>
      <c r="K54" s="43"/>
      <c r="L54" s="43"/>
      <c r="M54" s="43"/>
      <c r="N54" s="4"/>
    </row>
    <row r="55" spans="1:14" ht="13.9" x14ac:dyDescent="0.4">
      <c r="A55" s="8"/>
      <c r="B55" s="8"/>
      <c r="C55" s="8"/>
      <c r="D55" s="8"/>
      <c r="E55" s="43"/>
      <c r="F55" s="43"/>
      <c r="G55" s="43"/>
      <c r="H55" s="43"/>
      <c r="I55" s="43"/>
      <c r="J55" s="43"/>
      <c r="K55" s="43"/>
      <c r="L55" s="43"/>
      <c r="M55" s="43"/>
      <c r="N55" s="4"/>
    </row>
    <row r="56" spans="1:14" ht="13.9" x14ac:dyDescent="0.4">
      <c r="A56" s="201">
        <f ca="1">COI!A43</f>
        <v>43866.674479745372</v>
      </c>
      <c r="B56" s="201"/>
      <c r="C56" s="201"/>
      <c r="D56" s="8"/>
      <c r="J56" s="43"/>
      <c r="K56" s="43"/>
      <c r="L56" s="43"/>
      <c r="M56" s="5"/>
      <c r="N56" s="5"/>
    </row>
    <row r="58" spans="1:14" ht="13.9" x14ac:dyDescent="0.4">
      <c r="E58" s="45"/>
      <c r="N58" s="40"/>
    </row>
    <row r="59" spans="1:14" ht="13.9" x14ac:dyDescent="0.4">
      <c r="E59" s="45"/>
      <c r="G59" s="40"/>
      <c r="I59" s="40"/>
      <c r="M59" s="40"/>
    </row>
    <row r="60" spans="1:14" ht="13.9" x14ac:dyDescent="0.4">
      <c r="E60" s="45"/>
    </row>
    <row r="61" spans="1:14" ht="13.9" x14ac:dyDescent="0.4">
      <c r="E61" s="45"/>
    </row>
  </sheetData>
  <mergeCells count="1">
    <mergeCell ref="A56:C56"/>
  </mergeCells>
  <printOptions horizontalCentered="1"/>
  <pageMargins left="0.7" right="0.7" top="0.75" bottom="0.75" header="0.3" footer="0.3"/>
  <pageSetup scale="74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M57"/>
  <sheetViews>
    <sheetView zoomScaleNormal="100" zoomScaleSheetLayoutView="100" workbookViewId="0">
      <selection activeCell="C10" sqref="C10"/>
    </sheetView>
  </sheetViews>
  <sheetFormatPr defaultColWidth="9.33203125" defaultRowHeight="13.9" x14ac:dyDescent="0.4"/>
  <cols>
    <col min="1" max="2" width="9.33203125" style="15"/>
    <col min="3" max="3" width="17.5" style="15" customWidth="1"/>
    <col min="4" max="6" width="9.33203125" style="15"/>
    <col min="7" max="7" width="9.33203125" style="15" customWidth="1"/>
    <col min="8" max="9" width="9.33203125" style="15"/>
    <col min="10" max="10" width="10" style="15" customWidth="1"/>
    <col min="11" max="11" width="21.83203125" style="15" customWidth="1"/>
    <col min="12" max="12" width="9.33203125" style="15"/>
    <col min="13" max="13" width="14.83203125" style="15" bestFit="1" customWidth="1"/>
    <col min="14" max="16384" width="9.33203125" style="15"/>
  </cols>
  <sheetData>
    <row r="2" spans="2:12" x14ac:dyDescent="0.4">
      <c r="L2" s="103" t="e">
        <v>#VALUE!</v>
      </c>
    </row>
    <row r="3" spans="2:12" x14ac:dyDescent="0.4">
      <c r="L3" s="103" t="e">
        <v>#VALUE!</v>
      </c>
    </row>
    <row r="4" spans="2:12" x14ac:dyDescent="0.4">
      <c r="L4" s="103" t="e">
        <v>#VALUE!</v>
      </c>
    </row>
    <row r="6" spans="2:12" s="46" customFormat="1" ht="13.5" x14ac:dyDescent="0.35">
      <c r="B6" s="104" t="e">
        <v>#VALUE!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2:12" s="46" customFormat="1" ht="13.5" x14ac:dyDescent="0.35">
      <c r="B7" s="104" t="e">
        <v>#VALUE!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10" spans="2:12" x14ac:dyDescent="0.4">
      <c r="B10" s="15" t="e">
        <v>#VALUE!</v>
      </c>
      <c r="C10" s="120">
        <v>43836</v>
      </c>
      <c r="F10" s="15" t="e">
        <v>#VALUE!</v>
      </c>
      <c r="H10" s="17" t="e">
        <v>#VALUE!</v>
      </c>
      <c r="I10" s="17"/>
      <c r="J10" s="17"/>
      <c r="K10" s="17"/>
      <c r="L10" s="29">
        <v>574</v>
      </c>
    </row>
    <row r="11" spans="2:12" x14ac:dyDescent="0.4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2:12" x14ac:dyDescent="0.4">
      <c r="B12" s="105" t="e">
        <v>#VALUE!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</row>
    <row r="14" spans="2:12" x14ac:dyDescent="0.4">
      <c r="B14" s="15" t="e">
        <v>#VALUE!</v>
      </c>
      <c r="C14" s="15" t="e">
        <v>#VALUE!</v>
      </c>
    </row>
    <row r="15" spans="2:12" x14ac:dyDescent="0.4">
      <c r="C15" s="15" t="e">
        <v>#VALUE!</v>
      </c>
    </row>
    <row r="17" spans="3:11" x14ac:dyDescent="0.4">
      <c r="C17" s="15" t="e">
        <v>#VALUE!</v>
      </c>
      <c r="K17" s="106" t="e">
        <v>#VALUE!</v>
      </c>
    </row>
    <row r="18" spans="3:11" x14ac:dyDescent="0.4">
      <c r="K18" s="103"/>
    </row>
    <row r="19" spans="3:11" x14ac:dyDescent="0.4">
      <c r="C19" s="15" t="e">
        <v>#VALUE!</v>
      </c>
      <c r="K19" s="103" t="e">
        <v>#VALUE!</v>
      </c>
    </row>
    <row r="20" spans="3:11" x14ac:dyDescent="0.4">
      <c r="K20" s="103" t="e">
        <v>#VALUE!</v>
      </c>
    </row>
    <row r="21" spans="3:11" x14ac:dyDescent="0.4">
      <c r="K21" s="106" t="e">
        <v>#VALUE!</v>
      </c>
    </row>
    <row r="22" spans="3:11" x14ac:dyDescent="0.4">
      <c r="K22" s="103"/>
    </row>
    <row r="23" spans="3:11" x14ac:dyDescent="0.4">
      <c r="C23" s="15" t="e">
        <v>#VALUE!</v>
      </c>
      <c r="K23" s="109">
        <v>55948926.100000001</v>
      </c>
    </row>
    <row r="24" spans="3:11" x14ac:dyDescent="0.4">
      <c r="K24" s="103"/>
    </row>
    <row r="25" spans="3:11" x14ac:dyDescent="0.4">
      <c r="C25" s="15" t="e">
        <v>#VALUE!</v>
      </c>
      <c r="K25" s="103"/>
    </row>
    <row r="26" spans="3:11" x14ac:dyDescent="0.4">
      <c r="C26" s="15" t="e">
        <v>#VALUE!</v>
      </c>
      <c r="K26" s="103"/>
    </row>
    <row r="27" spans="3:11" x14ac:dyDescent="0.4">
      <c r="C27" s="15" t="e">
        <v>#VALUE!</v>
      </c>
      <c r="K27" s="103"/>
    </row>
    <row r="28" spans="3:11" x14ac:dyDescent="0.4">
      <c r="C28" s="15" t="e">
        <v>#VALUE!</v>
      </c>
      <c r="K28" s="109">
        <f>K23</f>
        <v>55948926.100000001</v>
      </c>
    </row>
    <row r="29" spans="3:11" x14ac:dyDescent="0.4">
      <c r="K29" s="103"/>
    </row>
    <row r="30" spans="3:11" x14ac:dyDescent="0.4">
      <c r="C30" s="15" t="e">
        <v>#VALUE!</v>
      </c>
      <c r="K30" s="109">
        <v>0</v>
      </c>
    </row>
    <row r="31" spans="3:11" x14ac:dyDescent="0.4">
      <c r="K31" s="103"/>
    </row>
    <row r="32" spans="3:11" x14ac:dyDescent="0.4">
      <c r="C32" s="15" t="e">
        <v>#VALUE!</v>
      </c>
      <c r="K32" s="109">
        <v>0</v>
      </c>
    </row>
    <row r="33" spans="3:13" x14ac:dyDescent="0.4">
      <c r="K33" s="103"/>
    </row>
    <row r="34" spans="3:13" x14ac:dyDescent="0.4">
      <c r="C34" s="15" t="e">
        <v>#VALUE!</v>
      </c>
      <c r="K34" s="103"/>
    </row>
    <row r="35" spans="3:13" x14ac:dyDescent="0.4">
      <c r="K35" s="103"/>
    </row>
    <row r="36" spans="3:13" x14ac:dyDescent="0.4">
      <c r="C36" s="15" t="e">
        <v>#VALUE!</v>
      </c>
      <c r="K36" s="109">
        <v>0</v>
      </c>
    </row>
    <row r="37" spans="3:13" x14ac:dyDescent="0.4">
      <c r="K37" s="103"/>
    </row>
    <row r="38" spans="3:13" x14ac:dyDescent="0.4">
      <c r="C38" s="15" t="e">
        <v>#VALUE!</v>
      </c>
      <c r="K38" s="109">
        <v>82182.929999999993</v>
      </c>
    </row>
    <row r="39" spans="3:13" x14ac:dyDescent="0.4">
      <c r="K39" s="110"/>
    </row>
    <row r="40" spans="3:13" x14ac:dyDescent="0.4">
      <c r="C40" s="15" t="e">
        <v>#VALUE!</v>
      </c>
      <c r="K40" s="109">
        <f>191429.57+2243.16</f>
        <v>193672.73</v>
      </c>
    </row>
    <row r="41" spans="3:13" x14ac:dyDescent="0.4">
      <c r="K41" s="103"/>
    </row>
    <row r="42" spans="3:13" x14ac:dyDescent="0.4">
      <c r="C42" s="15" t="e">
        <v>#VALUE!</v>
      </c>
      <c r="K42" s="103"/>
    </row>
    <row r="43" spans="3:13" x14ac:dyDescent="0.4">
      <c r="K43" s="103"/>
      <c r="M43" s="112"/>
    </row>
    <row r="44" spans="3:13" x14ac:dyDescent="0.4">
      <c r="C44" s="15" t="e">
        <v>#VALUE!</v>
      </c>
      <c r="K44" s="109">
        <f>55673070.44</f>
        <v>55673070.439999998</v>
      </c>
      <c r="M44" s="112"/>
    </row>
    <row r="45" spans="3:13" x14ac:dyDescent="0.4">
      <c r="K45" s="103"/>
    </row>
    <row r="46" spans="3:13" x14ac:dyDescent="0.4">
      <c r="C46" s="15" t="e">
        <v>#VALUE!</v>
      </c>
      <c r="K46" s="109">
        <v>0</v>
      </c>
    </row>
    <row r="47" spans="3:13" x14ac:dyDescent="0.4">
      <c r="K47" s="103"/>
    </row>
    <row r="48" spans="3:13" x14ac:dyDescent="0.4">
      <c r="C48" s="15" t="e">
        <v>#VALUE!</v>
      </c>
      <c r="K48" s="109">
        <v>0</v>
      </c>
    </row>
    <row r="49" spans="3:11" x14ac:dyDescent="0.4">
      <c r="K49" s="103"/>
    </row>
    <row r="50" spans="3:11" x14ac:dyDescent="0.4">
      <c r="C50" s="15" t="e">
        <v>#VALUE!</v>
      </c>
      <c r="K50" s="109">
        <v>0</v>
      </c>
    </row>
    <row r="51" spans="3:11" x14ac:dyDescent="0.4">
      <c r="K51" s="103"/>
    </row>
    <row r="52" spans="3:11" x14ac:dyDescent="0.4">
      <c r="C52" s="15" t="e">
        <v>#VALUE!</v>
      </c>
      <c r="K52" s="109">
        <v>0</v>
      </c>
    </row>
    <row r="53" spans="3:11" x14ac:dyDescent="0.4">
      <c r="K53" s="103"/>
    </row>
    <row r="54" spans="3:11" x14ac:dyDescent="0.4">
      <c r="C54" s="15" t="e">
        <v>#VALUE!</v>
      </c>
      <c r="K54" s="109">
        <v>0</v>
      </c>
    </row>
    <row r="55" spans="3:11" x14ac:dyDescent="0.4">
      <c r="K55" s="103"/>
    </row>
    <row r="56" spans="3:11" x14ac:dyDescent="0.4">
      <c r="C56" s="15" t="e">
        <v>#VALUE!</v>
      </c>
      <c r="K56" s="103"/>
    </row>
    <row r="57" spans="3:11" x14ac:dyDescent="0.4">
      <c r="C57" s="15" t="e">
        <v>#VALUE!</v>
      </c>
      <c r="K57" s="103"/>
    </row>
  </sheetData>
  <pageMargins left="0.7" right="0.7" top="0.75" bottom="0.75" header="0.3" footer="0.3"/>
  <pageSetup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L53"/>
  <sheetViews>
    <sheetView zoomScaleNormal="100" zoomScaleSheetLayoutView="100" workbookViewId="0">
      <selection activeCell="C10" sqref="C10"/>
    </sheetView>
  </sheetViews>
  <sheetFormatPr defaultColWidth="9.33203125" defaultRowHeight="13.9" x14ac:dyDescent="0.4"/>
  <cols>
    <col min="1" max="2" width="9.33203125" style="15"/>
    <col min="3" max="3" width="17.5" style="15" customWidth="1"/>
    <col min="4" max="6" width="9.33203125" style="15"/>
    <col min="7" max="7" width="9.33203125" style="15" customWidth="1"/>
    <col min="8" max="8" width="9.33203125" style="15"/>
    <col min="9" max="9" width="20.83203125" style="15" customWidth="1"/>
    <col min="10" max="10" width="10" style="15" customWidth="1"/>
    <col min="11" max="11" width="21.83203125" style="15" customWidth="1"/>
    <col min="12" max="16384" width="9.33203125" style="15"/>
  </cols>
  <sheetData>
    <row r="2" spans="2:12" x14ac:dyDescent="0.4">
      <c r="I2" s="114"/>
      <c r="L2" s="103" t="e">
        <v>#VALUE!</v>
      </c>
    </row>
    <row r="3" spans="2:12" x14ac:dyDescent="0.4">
      <c r="I3" s="114"/>
      <c r="L3" s="103" t="e">
        <v>#VALUE!</v>
      </c>
    </row>
    <row r="4" spans="2:12" x14ac:dyDescent="0.4">
      <c r="I4" s="114"/>
      <c r="L4" s="103" t="e">
        <v>#VALUE!</v>
      </c>
    </row>
    <row r="6" spans="2:12" s="46" customFormat="1" ht="13.5" x14ac:dyDescent="0.35">
      <c r="B6" s="104" t="e">
        <v>#VALUE!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2:12" s="46" customFormat="1" ht="13.5" x14ac:dyDescent="0.35">
      <c r="B7" s="104" t="e">
        <v>#VALUE!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10" spans="2:12" x14ac:dyDescent="0.4">
      <c r="B10" s="15" t="e">
        <v>#VALUE!</v>
      </c>
      <c r="C10" s="120">
        <v>43836</v>
      </c>
      <c r="F10" s="15" t="e">
        <v>#VALUE!</v>
      </c>
      <c r="H10" s="17" t="e">
        <v>#VALUE!</v>
      </c>
      <c r="I10" s="17"/>
      <c r="J10" s="17"/>
      <c r="K10" s="17"/>
      <c r="L10" s="29">
        <v>574</v>
      </c>
    </row>
    <row r="11" spans="2:12" x14ac:dyDescent="0.4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2:12" x14ac:dyDescent="0.4">
      <c r="B12" s="105" t="e">
        <v>#VALUE!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</row>
    <row r="14" spans="2:12" x14ac:dyDescent="0.4">
      <c r="B14" s="15" t="e">
        <v>#VALUE!</v>
      </c>
      <c r="C14" s="15" t="e">
        <v>#VALUE!</v>
      </c>
    </row>
    <row r="17" spans="3:11" x14ac:dyDescent="0.4">
      <c r="I17" s="108" t="e">
        <v>#VALUE!</v>
      </c>
      <c r="J17" s="108"/>
      <c r="K17" s="108" t="e">
        <v>#VALUE!</v>
      </c>
    </row>
    <row r="19" spans="3:11" x14ac:dyDescent="0.4">
      <c r="C19" s="15" t="e">
        <v>#VALUE!</v>
      </c>
      <c r="I19" s="109">
        <v>54503402.899999999</v>
      </c>
      <c r="K19" s="103"/>
    </row>
    <row r="20" spans="3:11" x14ac:dyDescent="0.4">
      <c r="K20" s="103"/>
    </row>
    <row r="21" spans="3:11" x14ac:dyDescent="0.4">
      <c r="C21" s="15" t="e">
        <v>#VALUE!</v>
      </c>
      <c r="I21" s="109">
        <v>1032891.7916666666</v>
      </c>
      <c r="K21" s="103"/>
    </row>
    <row r="22" spans="3:11" x14ac:dyDescent="0.4">
      <c r="K22" s="103"/>
    </row>
    <row r="23" spans="3:11" x14ac:dyDescent="0.4">
      <c r="C23" s="15" t="e">
        <v>#VALUE!</v>
      </c>
      <c r="I23" s="109">
        <v>0</v>
      </c>
      <c r="K23" s="103"/>
    </row>
    <row r="24" spans="3:11" x14ac:dyDescent="0.4">
      <c r="K24" s="103"/>
    </row>
    <row r="25" spans="3:11" x14ac:dyDescent="0.4">
      <c r="C25" s="15" t="e">
        <v>#VALUE!</v>
      </c>
      <c r="I25" s="109">
        <v>0</v>
      </c>
      <c r="K25" s="103"/>
    </row>
    <row r="26" spans="3:11" x14ac:dyDescent="0.4">
      <c r="K26" s="103"/>
    </row>
    <row r="27" spans="3:11" x14ac:dyDescent="0.4">
      <c r="C27" s="15" t="e">
        <v>#VALUE!</v>
      </c>
      <c r="I27" s="109">
        <v>0</v>
      </c>
      <c r="K27" s="103"/>
    </row>
    <row r="28" spans="3:11" x14ac:dyDescent="0.4">
      <c r="K28" s="103"/>
    </row>
    <row r="29" spans="3:11" x14ac:dyDescent="0.4">
      <c r="C29" s="15" t="e">
        <v>#VALUE!</v>
      </c>
      <c r="I29" s="109">
        <v>0</v>
      </c>
      <c r="K29" s="103"/>
    </row>
    <row r="30" spans="3:11" x14ac:dyDescent="0.4">
      <c r="K30" s="103"/>
    </row>
    <row r="31" spans="3:11" x14ac:dyDescent="0.4">
      <c r="C31" s="15" t="e">
        <v>#VALUE!</v>
      </c>
      <c r="I31" s="109">
        <v>834607.98504124023</v>
      </c>
      <c r="K31" s="103"/>
    </row>
    <row r="32" spans="3:11" x14ac:dyDescent="0.4">
      <c r="I32" s="110"/>
      <c r="K32" s="103"/>
    </row>
    <row r="33" spans="3:11" x14ac:dyDescent="0.4">
      <c r="C33" s="15" t="e">
        <v>#VALUE!</v>
      </c>
      <c r="I33" s="109">
        <f>'C-31 1of3'!K38+'C-31 1of3'!K40</f>
        <v>275855.66000000003</v>
      </c>
      <c r="K33" s="103"/>
    </row>
    <row r="34" spans="3:11" x14ac:dyDescent="0.4">
      <c r="K34" s="103"/>
    </row>
    <row r="35" spans="3:11" x14ac:dyDescent="0.4">
      <c r="C35" s="15" t="e">
        <v>#VALUE!</v>
      </c>
      <c r="I35" s="109">
        <v>0</v>
      </c>
      <c r="K35" s="103"/>
    </row>
    <row r="36" spans="3:11" x14ac:dyDescent="0.4">
      <c r="K36" s="103"/>
    </row>
    <row r="37" spans="3:11" x14ac:dyDescent="0.4">
      <c r="C37" s="15" t="e">
        <v>#VALUE!</v>
      </c>
      <c r="I37" s="110"/>
      <c r="K37" s="109">
        <v>55948926.100000001</v>
      </c>
    </row>
    <row r="38" spans="3:11" x14ac:dyDescent="0.4">
      <c r="I38" s="19"/>
    </row>
    <row r="39" spans="3:11" x14ac:dyDescent="0.4">
      <c r="C39" s="15" t="e">
        <v>#VALUE!</v>
      </c>
      <c r="I39" s="110"/>
      <c r="K39" s="109">
        <v>0</v>
      </c>
    </row>
    <row r="40" spans="3:11" x14ac:dyDescent="0.4">
      <c r="I40" s="19"/>
      <c r="K40" s="103"/>
    </row>
    <row r="41" spans="3:11" x14ac:dyDescent="0.4">
      <c r="C41" s="15" t="e">
        <v>#VALUE!</v>
      </c>
      <c r="K41" s="109">
        <v>0</v>
      </c>
    </row>
    <row r="42" spans="3:11" x14ac:dyDescent="0.4">
      <c r="K42" s="103"/>
    </row>
    <row r="43" spans="3:11" x14ac:dyDescent="0.4">
      <c r="C43" s="15" t="e">
        <v>#VALUE!</v>
      </c>
      <c r="K43" s="109">
        <v>0</v>
      </c>
    </row>
    <row r="44" spans="3:11" x14ac:dyDescent="0.4">
      <c r="K44" s="103"/>
    </row>
    <row r="45" spans="3:11" x14ac:dyDescent="0.4">
      <c r="C45" s="15" t="e">
        <v>#VALUE!</v>
      </c>
      <c r="K45" s="109">
        <v>54383.94</v>
      </c>
    </row>
    <row r="46" spans="3:11" x14ac:dyDescent="0.4">
      <c r="K46" s="103"/>
    </row>
    <row r="47" spans="3:11" x14ac:dyDescent="0.4">
      <c r="C47" s="15" t="e">
        <v>#VALUE!</v>
      </c>
      <c r="K47" s="109">
        <v>0</v>
      </c>
    </row>
    <row r="48" spans="3:11" x14ac:dyDescent="0.4">
      <c r="K48" s="103"/>
    </row>
    <row r="49" spans="3:11" x14ac:dyDescent="0.4">
      <c r="C49" s="15" t="e">
        <v>#VALUE!</v>
      </c>
      <c r="K49" s="109">
        <f>SUM(I19:I33)-SUM(K37:K47)</f>
        <v>643448.29670789838</v>
      </c>
    </row>
    <row r="50" spans="3:11" x14ac:dyDescent="0.4">
      <c r="K50" s="103"/>
    </row>
    <row r="51" spans="3:11" ht="14.25" thickBot="1" x14ac:dyDescent="0.45">
      <c r="I51" s="111">
        <f>SUM(I19:I50)</f>
        <v>56646758.336707897</v>
      </c>
      <c r="K51" s="111">
        <f>SUM(K19:K50)</f>
        <v>56646758.336707897</v>
      </c>
    </row>
    <row r="52" spans="3:11" ht="14.25" thickTop="1" x14ac:dyDescent="0.4"/>
    <row r="53" spans="3:11" x14ac:dyDescent="0.4">
      <c r="I53" s="112"/>
    </row>
  </sheetData>
  <pageMargins left="0.7" right="0.7" top="0.75" bottom="0.75" header="0.3" footer="0.3"/>
  <pageSetup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L62"/>
  <sheetViews>
    <sheetView zoomScaleNormal="100" zoomScaleSheetLayoutView="100" workbookViewId="0">
      <selection activeCell="C10" sqref="C10"/>
    </sheetView>
  </sheetViews>
  <sheetFormatPr defaultColWidth="9.33203125" defaultRowHeight="13.9" x14ac:dyDescent="0.4"/>
  <cols>
    <col min="1" max="2" width="9.33203125" style="15"/>
    <col min="3" max="3" width="17.5" style="15" customWidth="1"/>
    <col min="4" max="8" width="9.33203125" style="15"/>
    <col min="9" max="9" width="20.83203125" style="15" customWidth="1"/>
    <col min="10" max="10" width="10" style="15" customWidth="1"/>
    <col min="11" max="11" width="21.83203125" style="15" customWidth="1"/>
    <col min="12" max="16384" width="9.33203125" style="15"/>
  </cols>
  <sheetData>
    <row r="2" spans="2:12" x14ac:dyDescent="0.4">
      <c r="L2" s="103" t="e">
        <v>#VALUE!</v>
      </c>
    </row>
    <row r="3" spans="2:12" x14ac:dyDescent="0.4">
      <c r="L3" s="103" t="e">
        <v>#VALUE!</v>
      </c>
    </row>
    <row r="4" spans="2:12" x14ac:dyDescent="0.4">
      <c r="L4" s="103" t="e">
        <v>#VALUE!</v>
      </c>
    </row>
    <row r="6" spans="2:12" s="46" customFormat="1" ht="13.5" x14ac:dyDescent="0.35">
      <c r="B6" s="104" t="e">
        <v>#VALUE!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2:12" s="46" customFormat="1" ht="13.5" x14ac:dyDescent="0.35">
      <c r="B7" s="104" t="e">
        <v>#VALUE!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10" spans="2:12" x14ac:dyDescent="0.4">
      <c r="B10" s="15" t="e">
        <v>#VALUE!</v>
      </c>
      <c r="C10" s="113" t="e">
        <v>#VALUE!</v>
      </c>
      <c r="F10" s="15" t="e">
        <v>#VALUE!</v>
      </c>
      <c r="H10" s="17" t="e">
        <v>#VALUE!</v>
      </c>
      <c r="I10" s="17"/>
      <c r="J10" s="17"/>
      <c r="K10" s="17"/>
      <c r="L10" s="29">
        <v>574</v>
      </c>
    </row>
    <row r="11" spans="2:12" x14ac:dyDescent="0.4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2:12" x14ac:dyDescent="0.4">
      <c r="B12" s="105" t="e">
        <v>#VALUE!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</row>
    <row r="14" spans="2:12" x14ac:dyDescent="0.4">
      <c r="B14" s="15" t="e">
        <v>#VALUE!</v>
      </c>
      <c r="C14" s="15" t="e">
        <v>#VALUE!</v>
      </c>
    </row>
    <row r="15" spans="2:12" x14ac:dyDescent="0.4">
      <c r="C15" s="15" t="e">
        <v>#VALUE!</v>
      </c>
    </row>
    <row r="16" spans="2:12" x14ac:dyDescent="0.4">
      <c r="C16" s="15" t="e">
        <v>#VALUE!</v>
      </c>
    </row>
    <row r="17" spans="3:11" x14ac:dyDescent="0.4">
      <c r="C17" s="15" t="e">
        <v>#VALUE!</v>
      </c>
    </row>
    <row r="18" spans="3:11" x14ac:dyDescent="0.4">
      <c r="C18" s="15" t="e">
        <v>#VALUE!</v>
      </c>
    </row>
    <row r="20" spans="3:11" x14ac:dyDescent="0.4">
      <c r="C20" s="15" t="e">
        <v>#VALUE!</v>
      </c>
    </row>
    <row r="22" spans="3:11" x14ac:dyDescent="0.4">
      <c r="C22" s="15" t="e">
        <v>#VALUE!</v>
      </c>
      <c r="I22" s="110"/>
      <c r="K22" s="103"/>
    </row>
    <row r="23" spans="3:11" x14ac:dyDescent="0.4">
      <c r="K23" s="103"/>
    </row>
    <row r="24" spans="3:11" x14ac:dyDescent="0.4">
      <c r="C24" s="15" t="e">
        <v>#VALUE!</v>
      </c>
      <c r="I24" s="109"/>
      <c r="K24" s="103"/>
    </row>
    <row r="25" spans="3:11" x14ac:dyDescent="0.4">
      <c r="K25" s="103"/>
    </row>
    <row r="26" spans="3:11" x14ac:dyDescent="0.4">
      <c r="C26" s="15" t="e">
        <v>#VALUE!</v>
      </c>
      <c r="I26" s="109"/>
      <c r="K26" s="103"/>
    </row>
    <row r="27" spans="3:11" x14ac:dyDescent="0.4">
      <c r="K27" s="103"/>
    </row>
    <row r="28" spans="3:11" x14ac:dyDescent="0.4">
      <c r="C28" s="15" t="e">
        <v>#VALUE!</v>
      </c>
      <c r="I28" s="109"/>
      <c r="K28" s="103"/>
    </row>
    <row r="29" spans="3:11" x14ac:dyDescent="0.4">
      <c r="K29" s="103"/>
    </row>
    <row r="30" spans="3:11" x14ac:dyDescent="0.4">
      <c r="C30" s="15" t="e">
        <v>#VALUE!</v>
      </c>
      <c r="I30" s="110"/>
      <c r="K30" s="109"/>
    </row>
    <row r="31" spans="3:11" x14ac:dyDescent="0.4">
      <c r="K31" s="103"/>
    </row>
    <row r="32" spans="3:11" x14ac:dyDescent="0.4">
      <c r="C32" s="15" t="e">
        <v>#VALUE!</v>
      </c>
      <c r="I32" s="110"/>
      <c r="K32" s="103"/>
    </row>
    <row r="33" spans="3:11" x14ac:dyDescent="0.4">
      <c r="K33" s="103"/>
    </row>
    <row r="34" spans="3:11" x14ac:dyDescent="0.4">
      <c r="C34" s="15" t="e">
        <v>#VALUE!</v>
      </c>
      <c r="I34" s="110"/>
      <c r="K34" s="103"/>
    </row>
    <row r="35" spans="3:11" x14ac:dyDescent="0.4">
      <c r="C35" s="15" t="e">
        <v>#VALUE!</v>
      </c>
      <c r="I35" s="110"/>
      <c r="K35" s="109">
        <f>'C-31 1of3'!K44</f>
        <v>55673070.439999998</v>
      </c>
    </row>
    <row r="36" spans="3:11" x14ac:dyDescent="0.4">
      <c r="I36" s="110"/>
      <c r="K36" s="103"/>
    </row>
    <row r="37" spans="3:11" x14ac:dyDescent="0.4">
      <c r="C37" s="15" t="e">
        <v>#VALUE!</v>
      </c>
      <c r="I37" s="110"/>
      <c r="K37" s="103"/>
    </row>
    <row r="38" spans="3:11" x14ac:dyDescent="0.4">
      <c r="K38" s="103"/>
    </row>
    <row r="39" spans="3:11" x14ac:dyDescent="0.4">
      <c r="C39" s="15" t="e">
        <v>#VALUE!</v>
      </c>
      <c r="I39" s="110"/>
      <c r="K39" s="103"/>
    </row>
    <row r="40" spans="3:11" x14ac:dyDescent="0.4">
      <c r="K40" s="107"/>
    </row>
    <row r="41" spans="3:11" x14ac:dyDescent="0.4">
      <c r="C41" s="15" t="e">
        <v>#VALUE!</v>
      </c>
      <c r="I41" s="109">
        <f>'C-31 2of3'!I19</f>
        <v>54503402.899999999</v>
      </c>
      <c r="K41" s="110"/>
    </row>
    <row r="42" spans="3:11" x14ac:dyDescent="0.4">
      <c r="K42" s="19"/>
    </row>
    <row r="43" spans="3:11" x14ac:dyDescent="0.4">
      <c r="C43" s="15" t="e">
        <v>#VALUE!</v>
      </c>
      <c r="I43" s="109">
        <f>-'C-31 2of3'!K45</f>
        <v>-54383.94</v>
      </c>
      <c r="K43" s="110"/>
    </row>
    <row r="44" spans="3:11" x14ac:dyDescent="0.4">
      <c r="I44" s="103"/>
      <c r="K44" s="107"/>
    </row>
    <row r="45" spans="3:11" x14ac:dyDescent="0.4">
      <c r="C45" s="15" t="e">
        <v>#VALUE!</v>
      </c>
      <c r="I45" s="109">
        <f>'C-31 2of3'!I31</f>
        <v>834607.98504124023</v>
      </c>
      <c r="K45" s="110"/>
    </row>
    <row r="46" spans="3:11" x14ac:dyDescent="0.4">
      <c r="I46" s="103"/>
      <c r="K46" s="107"/>
    </row>
    <row r="47" spans="3:11" x14ac:dyDescent="0.4">
      <c r="C47" s="15" t="e">
        <v>#VALUE!</v>
      </c>
      <c r="I47" s="109">
        <v>0</v>
      </c>
      <c r="K47" s="110"/>
    </row>
    <row r="48" spans="3:11" x14ac:dyDescent="0.4">
      <c r="K48" s="103"/>
    </row>
    <row r="49" spans="3:11" x14ac:dyDescent="0.4">
      <c r="C49" s="15" t="e">
        <v>#VALUE!</v>
      </c>
      <c r="K49" s="109">
        <f>SUM(I41:I47)</f>
        <v>55283626.945041239</v>
      </c>
    </row>
    <row r="50" spans="3:11" x14ac:dyDescent="0.4">
      <c r="K50" s="103"/>
    </row>
    <row r="51" spans="3:11" x14ac:dyDescent="0.4">
      <c r="C51" s="15" t="e">
        <v>#VALUE!</v>
      </c>
    </row>
    <row r="52" spans="3:11" x14ac:dyDescent="0.4">
      <c r="K52" s="103"/>
    </row>
    <row r="53" spans="3:11" x14ac:dyDescent="0.4">
      <c r="C53" s="15" t="e">
        <v>#VALUE!</v>
      </c>
      <c r="K53" s="110"/>
    </row>
    <row r="54" spans="3:11" x14ac:dyDescent="0.4">
      <c r="C54" s="15" t="e">
        <v>#VALUE!</v>
      </c>
      <c r="K54" s="109">
        <f>K49-K35</f>
        <v>-389443.49495875835</v>
      </c>
    </row>
    <row r="56" spans="3:11" x14ac:dyDescent="0.4">
      <c r="I56" s="112"/>
      <c r="K56" s="112"/>
    </row>
    <row r="57" spans="3:11" x14ac:dyDescent="0.4">
      <c r="K57" s="115"/>
    </row>
    <row r="59" spans="3:11" x14ac:dyDescent="0.4">
      <c r="K59" s="112"/>
    </row>
    <row r="61" spans="3:11" x14ac:dyDescent="0.4">
      <c r="K61" s="112"/>
    </row>
    <row r="62" spans="3:11" x14ac:dyDescent="0.4">
      <c r="K62" s="112"/>
    </row>
  </sheetData>
  <pageMargins left="0.7" right="0.7" top="0.75" bottom="0.75" header="0.3" footer="0.3"/>
  <pageSetup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pageSetUpPr fitToPage="1"/>
  </sheetPr>
  <dimension ref="A1:V96"/>
  <sheetViews>
    <sheetView zoomScaleNormal="100" zoomScaleSheetLayoutView="100" workbookViewId="0">
      <pane xSplit="1" ySplit="9" topLeftCell="B10" activePane="bottomRight" state="frozen"/>
      <selection activeCell="M7" sqref="M7"/>
      <selection pane="topRight" activeCell="M7" sqref="M7"/>
      <selection pane="bottomLeft" activeCell="M7" sqref="M7"/>
      <selection pane="bottomRight" activeCell="G12" sqref="G12"/>
    </sheetView>
  </sheetViews>
  <sheetFormatPr defaultColWidth="10.6640625" defaultRowHeight="12.75" x14ac:dyDescent="0.35"/>
  <cols>
    <col min="1" max="1" width="21.83203125" style="3" customWidth="1"/>
    <col min="2" max="2" width="7.33203125" style="3" customWidth="1"/>
    <col min="3" max="3" width="19.83203125" style="1" customWidth="1"/>
    <col min="4" max="4" width="7" style="1" customWidth="1"/>
    <col min="5" max="5" width="19.83203125" style="1" customWidth="1"/>
    <col min="6" max="6" width="7.33203125" style="3" customWidth="1"/>
    <col min="7" max="7" width="19.83203125" style="1" customWidth="1"/>
    <col min="8" max="8" width="7" style="1" customWidth="1"/>
    <col min="9" max="9" width="19.83203125" style="1" customWidth="1"/>
    <col min="10" max="10" width="6.83203125" style="1" customWidth="1"/>
    <col min="11" max="11" width="20.83203125" style="1" customWidth="1"/>
    <col min="12" max="12" width="7.1640625" style="1" customWidth="1"/>
    <col min="13" max="13" width="19.83203125" style="1" customWidth="1"/>
    <col min="14" max="14" width="14.83203125" style="1" customWidth="1"/>
    <col min="15" max="16384" width="10.6640625" style="1"/>
  </cols>
  <sheetData>
    <row r="1" spans="1:22" s="195" customFormat="1" ht="17.25" x14ac:dyDescent="0.45">
      <c r="A1" s="193"/>
      <c r="B1" s="193"/>
      <c r="C1" s="53" t="str">
        <f>COI!A1</f>
        <v>MPEA 2019A Expansion Project Bond Deal</v>
      </c>
      <c r="D1" s="53"/>
      <c r="E1" s="53"/>
      <c r="F1" s="53"/>
      <c r="G1" s="53"/>
      <c r="H1" s="53"/>
      <c r="I1" s="53"/>
      <c r="J1" s="53"/>
      <c r="K1" s="53"/>
      <c r="L1" s="53"/>
      <c r="M1" s="194"/>
    </row>
    <row r="2" spans="1:22" s="58" customFormat="1" ht="17.25" x14ac:dyDescent="0.45">
      <c r="A2" s="59"/>
      <c r="B2" s="59"/>
      <c r="C2" s="116" t="s">
        <v>45</v>
      </c>
      <c r="D2" s="116"/>
      <c r="E2" s="116"/>
      <c r="F2" s="59"/>
      <c r="G2" s="116"/>
      <c r="H2" s="116"/>
      <c r="I2" s="116"/>
      <c r="J2" s="116"/>
      <c r="K2" s="116"/>
      <c r="L2" s="116"/>
      <c r="M2" s="60"/>
    </row>
    <row r="3" spans="1:22" s="58" customFormat="1" ht="15" x14ac:dyDescent="0.4">
      <c r="A3" s="61"/>
      <c r="B3" s="61"/>
      <c r="C3" s="62" t="s">
        <v>46</v>
      </c>
      <c r="D3" s="62"/>
      <c r="E3" s="62"/>
      <c r="F3" s="61"/>
      <c r="G3" s="62"/>
      <c r="H3" s="62"/>
      <c r="I3" s="62"/>
      <c r="J3" s="62"/>
      <c r="K3" s="62"/>
      <c r="L3" s="62"/>
      <c r="M3" s="63"/>
    </row>
    <row r="4" spans="1:22" ht="15" x14ac:dyDescent="0.4">
      <c r="A4" s="8"/>
      <c r="B4" s="8"/>
      <c r="C4" s="14"/>
      <c r="D4" s="14"/>
      <c r="E4" s="14"/>
      <c r="F4" s="8"/>
      <c r="G4" s="14"/>
      <c r="H4" s="14"/>
      <c r="I4" s="14"/>
      <c r="J4" s="14"/>
      <c r="K4" s="14"/>
      <c r="L4" s="14"/>
      <c r="M4" s="4"/>
    </row>
    <row r="5" spans="1:22" ht="13.9" x14ac:dyDescent="0.4">
      <c r="A5" s="41" t="s">
        <v>31</v>
      </c>
      <c r="B5" s="41"/>
      <c r="C5" s="41"/>
      <c r="D5" s="41"/>
      <c r="E5" s="42">
        <v>43809</v>
      </c>
      <c r="F5" s="41"/>
      <c r="G5" s="41"/>
      <c r="H5" s="47"/>
      <c r="I5" s="47"/>
      <c r="J5" s="47"/>
      <c r="K5" s="47"/>
      <c r="L5" s="47"/>
      <c r="M5" s="4"/>
    </row>
    <row r="6" spans="1:22" ht="15" x14ac:dyDescent="0.4">
      <c r="A6" s="8"/>
      <c r="B6" s="8"/>
      <c r="C6" s="14"/>
      <c r="D6" s="14"/>
      <c r="E6" s="14"/>
      <c r="F6" s="8"/>
      <c r="G6" s="14"/>
      <c r="H6" s="14"/>
      <c r="I6" s="14"/>
      <c r="J6" s="14"/>
      <c r="K6" s="14"/>
      <c r="L6" s="14"/>
      <c r="M6" s="4"/>
    </row>
    <row r="7" spans="1:22" ht="15" x14ac:dyDescent="0.4">
      <c r="A7" s="33" t="s">
        <v>28</v>
      </c>
      <c r="B7" s="33"/>
      <c r="C7" s="11"/>
      <c r="D7" s="11"/>
      <c r="E7" s="11"/>
      <c r="F7" s="11"/>
      <c r="G7" s="11"/>
      <c r="H7" s="11"/>
      <c r="I7" s="11"/>
      <c r="J7" s="11"/>
      <c r="K7" s="11"/>
      <c r="L7" s="14"/>
      <c r="M7" s="4"/>
      <c r="P7" s="8"/>
      <c r="Q7" s="8"/>
      <c r="R7" s="8"/>
      <c r="S7" s="8"/>
      <c r="T7" s="7"/>
      <c r="U7" s="7"/>
      <c r="V7" s="7"/>
    </row>
    <row r="8" spans="1:22" ht="13.9" x14ac:dyDescent="0.4">
      <c r="A8" s="9" t="s">
        <v>29</v>
      </c>
      <c r="B8" s="9"/>
      <c r="C8" s="11" t="s">
        <v>35</v>
      </c>
      <c r="D8" s="11"/>
      <c r="E8" s="10"/>
      <c r="F8" s="11"/>
      <c r="G8" s="11" t="s">
        <v>38</v>
      </c>
      <c r="H8" s="10"/>
      <c r="I8" s="11" t="s">
        <v>40</v>
      </c>
      <c r="J8" s="11"/>
      <c r="K8" s="11"/>
      <c r="L8" s="11"/>
      <c r="M8" s="11" t="s">
        <v>47</v>
      </c>
      <c r="P8" s="48"/>
      <c r="Q8" s="48"/>
      <c r="R8" s="48"/>
      <c r="S8" s="48"/>
      <c r="T8" s="7"/>
      <c r="U8" s="7"/>
      <c r="V8" s="7"/>
    </row>
    <row r="9" spans="1:22" ht="13.9" x14ac:dyDescent="0.4">
      <c r="A9" s="12" t="s">
        <v>30</v>
      </c>
      <c r="B9" s="12"/>
      <c r="C9" s="10" t="s">
        <v>36</v>
      </c>
      <c r="D9" s="10"/>
      <c r="E9" s="10" t="s">
        <v>37</v>
      </c>
      <c r="F9" s="10"/>
      <c r="G9" s="10" t="s">
        <v>39</v>
      </c>
      <c r="H9" s="10"/>
      <c r="I9" s="10" t="s">
        <v>39</v>
      </c>
      <c r="J9" s="10"/>
      <c r="K9" s="10" t="s">
        <v>41</v>
      </c>
      <c r="L9" s="10"/>
      <c r="M9" s="10" t="s">
        <v>41</v>
      </c>
      <c r="P9" s="8"/>
      <c r="Q9" s="8"/>
      <c r="R9" s="8"/>
      <c r="S9" s="8"/>
      <c r="T9" s="7"/>
      <c r="U9" s="7"/>
      <c r="V9" s="7"/>
    </row>
    <row r="10" spans="1:22" ht="13.9" x14ac:dyDescent="0.4">
      <c r="A10" s="8">
        <v>43814</v>
      </c>
      <c r="B10" s="8"/>
      <c r="C10" s="5">
        <f>'Series Detail'!R12</f>
        <v>1374430.75</v>
      </c>
      <c r="D10" s="5"/>
      <c r="E10" s="5">
        <f>'Series Detail'!S12</f>
        <v>58930863.75</v>
      </c>
      <c r="F10" s="8"/>
      <c r="G10" s="5">
        <f>'Series Detail'!T12</f>
        <v>2395569.25</v>
      </c>
      <c r="H10" s="5"/>
      <c r="I10" s="5">
        <f>'Series Detail'!U12</f>
        <v>0</v>
      </c>
      <c r="J10" s="5"/>
      <c r="K10" s="5">
        <f>SUM(C10:J10)</f>
        <v>62700863.75</v>
      </c>
      <c r="L10" s="5"/>
      <c r="M10" s="4"/>
    </row>
    <row r="11" spans="1:22" ht="13.9" x14ac:dyDescent="0.4">
      <c r="A11" s="8">
        <f>EDATE(A10,6)</f>
        <v>43997</v>
      </c>
      <c r="B11" s="8"/>
      <c r="C11" s="5">
        <f>'Series Detail'!R13</f>
        <v>13920132.449999999</v>
      </c>
      <c r="D11" s="5"/>
      <c r="E11" s="5">
        <f>'Series Detail'!S13</f>
        <v>59450183.019999996</v>
      </c>
      <c r="F11" s="8"/>
      <c r="G11" s="5">
        <f>'Series Detail'!T13</f>
        <v>54574867.549999997</v>
      </c>
      <c r="H11" s="5"/>
      <c r="I11" s="5">
        <f>'Series Detail'!U13</f>
        <v>0</v>
      </c>
      <c r="J11" s="5"/>
      <c r="K11" s="5">
        <f t="shared" ref="K11:K74" si="0">SUM(C11:J11)</f>
        <v>127945183.02</v>
      </c>
      <c r="L11" s="5"/>
      <c r="M11" s="5">
        <f>+K10+K11</f>
        <v>190646046.76999998</v>
      </c>
    </row>
    <row r="12" spans="1:22" ht="13.9" x14ac:dyDescent="0.4">
      <c r="A12" s="8">
        <f t="shared" ref="A12:A75" si="1">EDATE(A11,6)</f>
        <v>44180</v>
      </c>
      <c r="B12" s="8"/>
      <c r="C12" s="5">
        <f>'Series Detail'!R14</f>
        <v>68846968.599999994</v>
      </c>
      <c r="D12" s="5"/>
      <c r="E12" s="5">
        <f>'Series Detail'!S14</f>
        <v>59349470</v>
      </c>
      <c r="F12" s="8"/>
      <c r="G12" s="5">
        <f>'Series Detail'!T14</f>
        <v>12833031.4</v>
      </c>
      <c r="H12" s="5"/>
      <c r="I12" s="5">
        <f>'Series Detail'!U14</f>
        <v>0</v>
      </c>
      <c r="J12" s="5"/>
      <c r="K12" s="5">
        <f t="shared" si="0"/>
        <v>141029470</v>
      </c>
      <c r="L12" s="5"/>
      <c r="M12" s="4"/>
    </row>
    <row r="13" spans="1:22" ht="13.9" x14ac:dyDescent="0.4">
      <c r="A13" s="8">
        <f t="shared" si="1"/>
        <v>44362</v>
      </c>
      <c r="B13" s="8"/>
      <c r="C13" s="5">
        <f>'Series Detail'!R15</f>
        <v>8883792.4000000004</v>
      </c>
      <c r="D13" s="5"/>
      <c r="E13" s="5">
        <f>'Series Detail'!S15</f>
        <v>57851226.25</v>
      </c>
      <c r="F13" s="8"/>
      <c r="G13" s="5">
        <f>'Series Detail'!T15</f>
        <v>38106207.600000001</v>
      </c>
      <c r="H13" s="5"/>
      <c r="I13" s="5">
        <f>'Series Detail'!U15</f>
        <v>0</v>
      </c>
      <c r="J13" s="5"/>
      <c r="K13" s="5">
        <f t="shared" si="0"/>
        <v>104841226.25</v>
      </c>
      <c r="L13" s="5"/>
      <c r="M13" s="5">
        <f>+K12+K13</f>
        <v>245870696.25</v>
      </c>
    </row>
    <row r="14" spans="1:22" ht="13.9" x14ac:dyDescent="0.4">
      <c r="A14" s="8">
        <f t="shared" si="1"/>
        <v>44545</v>
      </c>
      <c r="B14" s="8"/>
      <c r="C14" s="5">
        <f>'Series Detail'!R16</f>
        <v>13457848</v>
      </c>
      <c r="D14" s="5"/>
      <c r="E14" s="5">
        <f>'Series Detail'!S16</f>
        <v>57800213.75</v>
      </c>
      <c r="F14" s="8"/>
      <c r="G14" s="5">
        <f>'Series Detail'!T16</f>
        <v>39427152</v>
      </c>
      <c r="H14" s="5"/>
      <c r="I14" s="5">
        <f>'Series Detail'!U16</f>
        <v>0</v>
      </c>
      <c r="J14" s="5"/>
      <c r="K14" s="5">
        <f t="shared" si="0"/>
        <v>110685213.75</v>
      </c>
      <c r="L14" s="5"/>
      <c r="M14" s="4"/>
    </row>
    <row r="15" spans="1:22" ht="13.9" x14ac:dyDescent="0.4">
      <c r="A15" s="8">
        <f t="shared" si="1"/>
        <v>44727</v>
      </c>
      <c r="B15" s="8"/>
      <c r="C15" s="5">
        <f>'Series Detail'!R17</f>
        <v>34882148.700000003</v>
      </c>
      <c r="D15" s="5"/>
      <c r="E15" s="5">
        <f>'Series Detail'!S17</f>
        <v>57737888.75</v>
      </c>
      <c r="F15" s="8"/>
      <c r="G15" s="5">
        <f>'Series Detail'!T17</f>
        <v>56642851.299999997</v>
      </c>
      <c r="H15" s="5"/>
      <c r="I15" s="5">
        <f>'Series Detail'!U17</f>
        <v>0</v>
      </c>
      <c r="J15" s="5"/>
      <c r="K15" s="5">
        <f t="shared" si="0"/>
        <v>149262888.75</v>
      </c>
      <c r="L15" s="5"/>
      <c r="M15" s="5">
        <f>+K14+K15</f>
        <v>259948102.5</v>
      </c>
    </row>
    <row r="16" spans="1:22" ht="13.9" x14ac:dyDescent="0.4">
      <c r="A16" s="8">
        <f t="shared" si="1"/>
        <v>44910</v>
      </c>
      <c r="B16" s="8"/>
      <c r="C16" s="5">
        <f>'Series Detail'!R18</f>
        <v>68881020</v>
      </c>
      <c r="D16" s="5"/>
      <c r="E16" s="5">
        <f>'Series Detail'!S18</f>
        <v>55869205</v>
      </c>
      <c r="F16" s="8"/>
      <c r="G16" s="5">
        <f>'Series Detail'!T18</f>
        <v>40068980</v>
      </c>
      <c r="H16" s="5"/>
      <c r="I16" s="5">
        <f>'Series Detail'!U18</f>
        <v>0</v>
      </c>
      <c r="J16" s="5"/>
      <c r="K16" s="5">
        <f t="shared" si="0"/>
        <v>164819205</v>
      </c>
      <c r="L16" s="5"/>
      <c r="M16" s="4"/>
    </row>
    <row r="17" spans="1:13" ht="13.9" x14ac:dyDescent="0.4">
      <c r="A17" s="8">
        <f t="shared" si="1"/>
        <v>45092</v>
      </c>
      <c r="B17" s="8"/>
      <c r="C17" s="5">
        <f>'Series Detail'!R19</f>
        <v>33832993.100000001</v>
      </c>
      <c r="D17" s="5"/>
      <c r="E17" s="5">
        <f>'Series Detail'!S19</f>
        <v>54619430</v>
      </c>
      <c r="F17" s="8"/>
      <c r="G17" s="5">
        <f>'Series Detail'!T19</f>
        <v>21677006.900000002</v>
      </c>
      <c r="H17" s="5"/>
      <c r="I17" s="5">
        <f>'Series Detail'!U19</f>
        <v>0</v>
      </c>
      <c r="J17" s="5"/>
      <c r="K17" s="5">
        <f t="shared" si="0"/>
        <v>110129430</v>
      </c>
      <c r="L17" s="5"/>
      <c r="M17" s="5">
        <f>+K16+K17</f>
        <v>274948635</v>
      </c>
    </row>
    <row r="18" spans="1:13" ht="13.9" x14ac:dyDescent="0.4">
      <c r="A18" s="8">
        <f t="shared" si="1"/>
        <v>45275</v>
      </c>
      <c r="B18" s="8"/>
      <c r="C18" s="5">
        <f>'Series Detail'!R20</f>
        <v>19319366.600000001</v>
      </c>
      <c r="D18" s="5"/>
      <c r="E18" s="5">
        <f>'Series Detail'!S20</f>
        <v>53777900</v>
      </c>
      <c r="F18" s="8"/>
      <c r="G18" s="5">
        <f>'Series Detail'!T20</f>
        <v>97320633.400000006</v>
      </c>
      <c r="H18" s="5"/>
      <c r="I18" s="5">
        <f>'Series Detail'!U20</f>
        <v>0</v>
      </c>
      <c r="J18" s="5"/>
      <c r="K18" s="5">
        <f t="shared" si="0"/>
        <v>170417900</v>
      </c>
      <c r="L18" s="5"/>
      <c r="M18" s="4"/>
    </row>
    <row r="19" spans="1:13" ht="13.9" x14ac:dyDescent="0.4">
      <c r="A19" s="8">
        <f t="shared" si="1"/>
        <v>45458</v>
      </c>
      <c r="B19" s="8"/>
      <c r="C19" s="5">
        <f>'Series Detail'!R21</f>
        <v>20632146.500000004</v>
      </c>
      <c r="D19" s="5"/>
      <c r="E19" s="5">
        <f>'Series Detail'!S21</f>
        <v>53648787.5</v>
      </c>
      <c r="F19" s="8"/>
      <c r="G19" s="5">
        <f>'Series Detail'!T21</f>
        <v>30177853.5</v>
      </c>
      <c r="H19" s="5"/>
      <c r="I19" s="5">
        <f>'Series Detail'!U21</f>
        <v>0</v>
      </c>
      <c r="J19" s="5"/>
      <c r="K19" s="5">
        <f t="shared" si="0"/>
        <v>104458787.5</v>
      </c>
      <c r="L19" s="5"/>
      <c r="M19" s="5">
        <f>+K18+K19</f>
        <v>274876687.5</v>
      </c>
    </row>
    <row r="20" spans="1:13" ht="13.9" x14ac:dyDescent="0.4">
      <c r="A20" s="8">
        <f t="shared" si="1"/>
        <v>45641</v>
      </c>
      <c r="B20" s="8"/>
      <c r="C20" s="5">
        <f>'Series Detail'!R22</f>
        <v>17916601.25</v>
      </c>
      <c r="D20" s="5"/>
      <c r="E20" s="5">
        <f>'Series Detail'!S22</f>
        <v>52803082.5</v>
      </c>
      <c r="F20" s="8"/>
      <c r="G20" s="5">
        <f>'Series Detail'!T22</f>
        <v>92468398.75</v>
      </c>
      <c r="H20" s="5"/>
      <c r="I20" s="5">
        <f>'Series Detail'!U22</f>
        <v>0</v>
      </c>
      <c r="J20" s="5"/>
      <c r="K20" s="5">
        <f t="shared" si="0"/>
        <v>163188082.5</v>
      </c>
      <c r="L20" s="5"/>
      <c r="M20" s="4"/>
    </row>
    <row r="21" spans="1:13" ht="13.9" x14ac:dyDescent="0.4">
      <c r="A21" s="8">
        <f t="shared" si="1"/>
        <v>45823</v>
      </c>
      <c r="B21" s="8"/>
      <c r="C21" s="5">
        <f>'Series Detail'!R23</f>
        <v>24303549.200000003</v>
      </c>
      <c r="D21" s="5"/>
      <c r="E21" s="5">
        <f>'Series Detail'!S23</f>
        <v>52666682.5</v>
      </c>
      <c r="F21" s="8"/>
      <c r="G21" s="5">
        <f>'Series Detail'!T23</f>
        <v>34711450.800000004</v>
      </c>
      <c r="H21" s="5"/>
      <c r="I21" s="5">
        <f>'Series Detail'!U23</f>
        <v>0</v>
      </c>
      <c r="J21" s="5"/>
      <c r="K21" s="5">
        <f t="shared" si="0"/>
        <v>111681682.5</v>
      </c>
      <c r="L21" s="5"/>
      <c r="M21" s="5">
        <f>+K20+K21</f>
        <v>274869765</v>
      </c>
    </row>
    <row r="22" spans="1:13" ht="13.9" x14ac:dyDescent="0.4">
      <c r="A22" s="8">
        <f t="shared" si="1"/>
        <v>46006</v>
      </c>
      <c r="B22" s="8"/>
      <c r="C22" s="5">
        <f>'Series Detail'!R24</f>
        <v>15976948.800000001</v>
      </c>
      <c r="D22" s="5"/>
      <c r="E22" s="5">
        <f>'Series Detail'!S24</f>
        <v>52405187.5</v>
      </c>
      <c r="F22" s="8"/>
      <c r="G22" s="5">
        <f>'Series Detail'!T24</f>
        <v>60588051.200000003</v>
      </c>
      <c r="H22" s="5"/>
      <c r="I22" s="5">
        <f>'Series Detail'!U24</f>
        <v>0</v>
      </c>
      <c r="J22" s="5"/>
      <c r="K22" s="5">
        <f t="shared" si="0"/>
        <v>128970187.5</v>
      </c>
      <c r="L22" s="5"/>
      <c r="M22" s="4"/>
    </row>
    <row r="23" spans="1:13" ht="13.9" x14ac:dyDescent="0.4">
      <c r="A23" s="8">
        <f t="shared" si="1"/>
        <v>46188</v>
      </c>
      <c r="B23" s="8"/>
      <c r="C23" s="5">
        <f>'Series Detail'!R25</f>
        <v>46047485.400000006</v>
      </c>
      <c r="D23" s="5"/>
      <c r="E23" s="5">
        <f>'Series Detail'!S25</f>
        <v>52078075</v>
      </c>
      <c r="F23" s="8"/>
      <c r="G23" s="5">
        <f>'Series Detail'!T25</f>
        <v>51852514.599999994</v>
      </c>
      <c r="H23" s="5"/>
      <c r="I23" s="5">
        <f>'Series Detail'!U25</f>
        <v>0</v>
      </c>
      <c r="J23" s="5"/>
      <c r="K23" s="5">
        <f t="shared" si="0"/>
        <v>149978075</v>
      </c>
      <c r="L23" s="5"/>
      <c r="M23" s="5">
        <f>+K22+K23</f>
        <v>278948262.5</v>
      </c>
    </row>
    <row r="24" spans="1:13" ht="13.9" x14ac:dyDescent="0.4">
      <c r="A24" s="8">
        <f t="shared" si="1"/>
        <v>46371</v>
      </c>
      <c r="B24" s="8"/>
      <c r="C24" s="5">
        <f>'Series Detail'!R26</f>
        <v>72672174.200000003</v>
      </c>
      <c r="D24" s="5"/>
      <c r="E24" s="5">
        <f>'Series Detail'!S26</f>
        <v>50868587.5</v>
      </c>
      <c r="F24" s="8"/>
      <c r="G24" s="5">
        <f>'Series Detail'!T26</f>
        <v>39562825.800000004</v>
      </c>
      <c r="H24" s="5"/>
      <c r="I24" s="5">
        <f>'Series Detail'!U26</f>
        <v>0</v>
      </c>
      <c r="J24" s="5"/>
      <c r="K24" s="5">
        <f t="shared" si="0"/>
        <v>163103587.5</v>
      </c>
      <c r="L24" s="5"/>
      <c r="M24" s="4"/>
    </row>
    <row r="25" spans="1:13" ht="13.9" x14ac:dyDescent="0.4">
      <c r="A25" s="8">
        <f t="shared" si="1"/>
        <v>46553</v>
      </c>
      <c r="B25" s="8"/>
      <c r="C25" s="5">
        <f>'Series Detail'!R27</f>
        <v>36434934.099999994</v>
      </c>
      <c r="D25" s="5"/>
      <c r="E25" s="5">
        <f>'Series Detail'!S27</f>
        <v>49081112.5</v>
      </c>
      <c r="F25" s="8"/>
      <c r="G25" s="5">
        <f>'Series Detail'!T27</f>
        <v>43330065.899999999</v>
      </c>
      <c r="H25" s="5"/>
      <c r="I25" s="5">
        <f>'Series Detail'!U27</f>
        <v>0</v>
      </c>
      <c r="J25" s="5"/>
      <c r="K25" s="5">
        <f t="shared" si="0"/>
        <v>128846112.5</v>
      </c>
      <c r="L25" s="5"/>
      <c r="M25" s="5">
        <f>+K24+K25</f>
        <v>291949700</v>
      </c>
    </row>
    <row r="26" spans="1:13" ht="13.9" x14ac:dyDescent="0.4">
      <c r="A26" s="8">
        <f t="shared" si="1"/>
        <v>46736</v>
      </c>
      <c r="B26" s="8"/>
      <c r="C26" s="5">
        <f>'Series Detail'!R28</f>
        <v>112990239.90000001</v>
      </c>
      <c r="D26" s="5"/>
      <c r="E26" s="5">
        <f>'Series Detail'!S28</f>
        <v>48730075</v>
      </c>
      <c r="F26" s="8"/>
      <c r="G26" s="5">
        <f>'Series Detail'!T28</f>
        <v>364760.1</v>
      </c>
      <c r="H26" s="5"/>
      <c r="I26" s="5">
        <f>'Series Detail'!U28</f>
        <v>0</v>
      </c>
      <c r="J26" s="5"/>
      <c r="K26" s="5">
        <f t="shared" si="0"/>
        <v>162085075</v>
      </c>
      <c r="L26" s="5"/>
      <c r="M26" s="4"/>
    </row>
    <row r="27" spans="1:13" ht="13.9" x14ac:dyDescent="0.4">
      <c r="A27" s="8">
        <f t="shared" si="1"/>
        <v>46919</v>
      </c>
      <c r="B27" s="8"/>
      <c r="C27" s="5">
        <f>'Series Detail'!R29</f>
        <v>15902687.300000001</v>
      </c>
      <c r="D27" s="5"/>
      <c r="E27" s="5">
        <f>'Series Detail'!S29</f>
        <v>45871975</v>
      </c>
      <c r="F27" s="8"/>
      <c r="G27" s="5">
        <f>'Series Detail'!T29</f>
        <v>83087312.700000003</v>
      </c>
      <c r="H27" s="5"/>
      <c r="I27" s="5">
        <f>'Series Detail'!U29</f>
        <v>0</v>
      </c>
      <c r="J27" s="5"/>
      <c r="K27" s="5">
        <f t="shared" si="0"/>
        <v>144861975</v>
      </c>
      <c r="L27" s="5"/>
      <c r="M27" s="5">
        <f>+K26+K27</f>
        <v>306947050</v>
      </c>
    </row>
    <row r="28" spans="1:13" ht="13.9" x14ac:dyDescent="0.4">
      <c r="A28" s="8">
        <f t="shared" si="1"/>
        <v>47102</v>
      </c>
      <c r="B28" s="8"/>
      <c r="C28" s="5">
        <f>'Series Detail'!R30</f>
        <v>134332466.19999999</v>
      </c>
      <c r="D28" s="5"/>
      <c r="E28" s="5">
        <f>'Series Detail'!S30</f>
        <v>45707112.5</v>
      </c>
      <c r="F28" s="8"/>
      <c r="G28" s="5">
        <f>'Series Detail'!T30</f>
        <v>377533.80000000005</v>
      </c>
      <c r="H28" s="5"/>
      <c r="I28" s="5">
        <f>'Series Detail'!U30</f>
        <v>0</v>
      </c>
      <c r="J28" s="5"/>
      <c r="K28" s="5">
        <f t="shared" si="0"/>
        <v>180417112.5</v>
      </c>
      <c r="L28" s="5"/>
      <c r="M28" s="4"/>
    </row>
    <row r="29" spans="1:13" ht="13.9" x14ac:dyDescent="0.4">
      <c r="A29" s="8">
        <f t="shared" si="1"/>
        <v>47284</v>
      </c>
      <c r="B29" s="8"/>
      <c r="C29" s="5">
        <f>'Series Detail'!R31</f>
        <v>15495321.300000001</v>
      </c>
      <c r="D29" s="5"/>
      <c r="E29" s="5">
        <f>'Series Detail'!S31</f>
        <v>42313987.5</v>
      </c>
      <c r="F29" s="8"/>
      <c r="G29" s="5">
        <f>'Series Detail'!T31</f>
        <v>83719678.700000003</v>
      </c>
      <c r="H29" s="5"/>
      <c r="I29" s="5">
        <f>'Series Detail'!U31</f>
        <v>0</v>
      </c>
      <c r="J29" s="5"/>
      <c r="K29" s="5">
        <f t="shared" si="0"/>
        <v>141528987.5</v>
      </c>
      <c r="L29" s="5"/>
      <c r="M29" s="5">
        <f>+K28+K29</f>
        <v>321946100</v>
      </c>
    </row>
    <row r="30" spans="1:13" ht="13.9" x14ac:dyDescent="0.4">
      <c r="A30" s="8">
        <f t="shared" si="1"/>
        <v>47467</v>
      </c>
      <c r="B30" s="8"/>
      <c r="C30" s="5">
        <f>'Series Detail'!R32</f>
        <v>6595539.0499999998</v>
      </c>
      <c r="D30" s="5"/>
      <c r="E30" s="5">
        <f>'Series Detail'!S32</f>
        <v>42142937.5</v>
      </c>
      <c r="F30" s="8"/>
      <c r="G30" s="5">
        <f>'Series Detail'!T32</f>
        <v>155099460.94999999</v>
      </c>
      <c r="H30" s="5"/>
      <c r="I30" s="5">
        <f>'Series Detail'!U32</f>
        <v>0</v>
      </c>
      <c r="J30" s="5"/>
      <c r="K30" s="5">
        <f t="shared" si="0"/>
        <v>203837937.5</v>
      </c>
      <c r="L30" s="5"/>
      <c r="M30" s="4"/>
    </row>
    <row r="31" spans="1:13" ht="13.9" x14ac:dyDescent="0.4">
      <c r="A31" s="8">
        <f t="shared" si="1"/>
        <v>47649</v>
      </c>
      <c r="B31" s="8"/>
      <c r="C31" s="5">
        <f>'Series Detail'!R33</f>
        <v>4467207.4000000004</v>
      </c>
      <c r="D31" s="5"/>
      <c r="E31" s="5">
        <f>'Series Detail'!S33</f>
        <v>42142937.5</v>
      </c>
      <c r="F31" s="8"/>
      <c r="G31" s="5">
        <f>'Series Detail'!T33</f>
        <v>87497792.600000009</v>
      </c>
      <c r="H31" s="5"/>
      <c r="I31" s="5">
        <f>'Series Detail'!U33</f>
        <v>0</v>
      </c>
      <c r="J31" s="5"/>
      <c r="K31" s="5">
        <f t="shared" si="0"/>
        <v>134107937.5</v>
      </c>
      <c r="L31" s="5"/>
      <c r="M31" s="5">
        <f>+K30+K31</f>
        <v>337945875</v>
      </c>
    </row>
    <row r="32" spans="1:13" ht="13.9" x14ac:dyDescent="0.4">
      <c r="A32" s="8">
        <f t="shared" si="1"/>
        <v>47832</v>
      </c>
      <c r="B32" s="8"/>
      <c r="C32" s="5">
        <f>'Series Detail'!R34</f>
        <v>12504528.5</v>
      </c>
      <c r="D32" s="5"/>
      <c r="E32" s="5">
        <f>'Series Detail'!S34</f>
        <v>42098412.5</v>
      </c>
      <c r="F32" s="8"/>
      <c r="G32" s="5">
        <f>'Series Detail'!T34</f>
        <v>155825471.5</v>
      </c>
      <c r="H32" s="5"/>
      <c r="I32" s="5">
        <f>'Series Detail'!U34</f>
        <v>0</v>
      </c>
      <c r="J32" s="5"/>
      <c r="K32" s="5">
        <f t="shared" si="0"/>
        <v>210428412.5</v>
      </c>
      <c r="L32" s="5"/>
      <c r="M32" s="4"/>
    </row>
    <row r="33" spans="1:13" ht="13.9" x14ac:dyDescent="0.4">
      <c r="A33" s="8">
        <f t="shared" si="1"/>
        <v>48014</v>
      </c>
      <c r="B33" s="8"/>
      <c r="C33" s="5">
        <f>'Series Detail'!R35</f>
        <v>4758409.3</v>
      </c>
      <c r="D33" s="5"/>
      <c r="E33" s="5">
        <f>'Series Detail'!S35</f>
        <v>41932537.5</v>
      </c>
      <c r="F33" s="8"/>
      <c r="G33" s="5">
        <f>'Series Detail'!T35</f>
        <v>92826590.700000003</v>
      </c>
      <c r="H33" s="5"/>
      <c r="I33" s="5">
        <f>'Series Detail'!U35</f>
        <v>0</v>
      </c>
      <c r="J33" s="5"/>
      <c r="K33" s="5">
        <f t="shared" si="0"/>
        <v>139517537.5</v>
      </c>
      <c r="L33" s="5"/>
      <c r="M33" s="5">
        <f>+K32+K33</f>
        <v>349945950</v>
      </c>
    </row>
    <row r="34" spans="1:13" ht="13.9" x14ac:dyDescent="0.4">
      <c r="A34" s="8">
        <f t="shared" si="1"/>
        <v>48197</v>
      </c>
      <c r="B34" s="8"/>
      <c r="C34" s="5">
        <f>'Series Detail'!R36</f>
        <v>9725598.5500000007</v>
      </c>
      <c r="D34" s="5"/>
      <c r="E34" s="5">
        <f>'Series Detail'!S36</f>
        <v>43295001.25</v>
      </c>
      <c r="F34" s="8"/>
      <c r="G34" s="5">
        <f>'Series Detail'!T36</f>
        <v>156659401.45000002</v>
      </c>
      <c r="H34" s="5"/>
      <c r="I34" s="5">
        <f>'Series Detail'!U36</f>
        <v>0</v>
      </c>
      <c r="J34" s="5"/>
      <c r="K34" s="5">
        <f t="shared" si="0"/>
        <v>209680001.25</v>
      </c>
      <c r="L34" s="5"/>
      <c r="M34" s="4"/>
    </row>
    <row r="35" spans="1:13" ht="13.9" x14ac:dyDescent="0.4">
      <c r="A35" s="8">
        <f t="shared" si="1"/>
        <v>48380</v>
      </c>
      <c r="B35" s="8"/>
      <c r="C35" s="5">
        <f>'Series Detail'!R37</f>
        <v>4060480</v>
      </c>
      <c r="D35" s="5"/>
      <c r="E35" s="5">
        <f>'Series Detail'!S37</f>
        <v>43172763.75</v>
      </c>
      <c r="F35" s="8"/>
      <c r="G35" s="5">
        <f>'Series Detail'!T37</f>
        <v>93034520</v>
      </c>
      <c r="H35" s="5"/>
      <c r="I35" s="5">
        <f>'Series Detail'!U37</f>
        <v>0</v>
      </c>
      <c r="J35" s="5"/>
      <c r="K35" s="5">
        <f t="shared" si="0"/>
        <v>140267763.75</v>
      </c>
      <c r="L35" s="5"/>
      <c r="M35" s="5">
        <f>+K34+K35</f>
        <v>349947765</v>
      </c>
    </row>
    <row r="36" spans="1:13" ht="13.9" x14ac:dyDescent="0.4">
      <c r="A36" s="8">
        <f t="shared" si="1"/>
        <v>48563</v>
      </c>
      <c r="B36" s="8"/>
      <c r="C36" s="5">
        <f>'Series Detail'!R38</f>
        <v>9305576.6500000004</v>
      </c>
      <c r="D36" s="5"/>
      <c r="E36" s="5">
        <f>'Series Detail'!S38</f>
        <v>43130738.75</v>
      </c>
      <c r="F36" s="8"/>
      <c r="G36" s="5">
        <f>'Series Detail'!T38</f>
        <v>157219423.34999999</v>
      </c>
      <c r="H36" s="5"/>
      <c r="I36" s="5">
        <f>'Series Detail'!U38</f>
        <v>0</v>
      </c>
      <c r="J36" s="5"/>
      <c r="K36" s="5">
        <f t="shared" si="0"/>
        <v>209655738.75</v>
      </c>
      <c r="L36" s="5"/>
      <c r="M36" s="4"/>
    </row>
    <row r="37" spans="1:13" ht="13.9" x14ac:dyDescent="0.4">
      <c r="A37" s="8">
        <f t="shared" si="1"/>
        <v>48745</v>
      </c>
      <c r="B37" s="8"/>
      <c r="C37" s="5">
        <f>'Series Detail'!R39</f>
        <v>3889221.1999999997</v>
      </c>
      <c r="D37" s="5"/>
      <c r="E37" s="5">
        <f>'Series Detail'!S39</f>
        <v>43005413.75</v>
      </c>
      <c r="F37" s="8"/>
      <c r="G37" s="5">
        <f>'Series Detail'!T39</f>
        <v>93395778.799999997</v>
      </c>
      <c r="H37" s="5"/>
      <c r="I37" s="5">
        <f>'Series Detail'!U39</f>
        <v>0</v>
      </c>
      <c r="J37" s="5"/>
      <c r="K37" s="5">
        <f t="shared" si="0"/>
        <v>140290413.75</v>
      </c>
      <c r="L37" s="5"/>
      <c r="M37" s="5">
        <f>+K36+K37</f>
        <v>349946152.5</v>
      </c>
    </row>
    <row r="38" spans="1:13" ht="13.9" x14ac:dyDescent="0.4">
      <c r="A38" s="8">
        <f t="shared" si="1"/>
        <v>48928</v>
      </c>
      <c r="B38" s="8"/>
      <c r="C38" s="5">
        <f>'Series Detail'!R40</f>
        <v>8961716.9499999993</v>
      </c>
      <c r="D38" s="5"/>
      <c r="E38" s="5">
        <f>'Series Detail'!S40</f>
        <v>42957588.75</v>
      </c>
      <c r="F38" s="8"/>
      <c r="G38" s="5">
        <f>'Series Detail'!T40</f>
        <v>157723283.04999998</v>
      </c>
      <c r="H38" s="5"/>
      <c r="I38" s="5">
        <f>'Series Detail'!U40</f>
        <v>0</v>
      </c>
      <c r="J38" s="5"/>
      <c r="K38" s="5">
        <f t="shared" si="0"/>
        <v>209642588.75</v>
      </c>
      <c r="L38" s="5"/>
      <c r="M38" s="4"/>
    </row>
    <row r="39" spans="1:13" ht="13.9" x14ac:dyDescent="0.4">
      <c r="A39" s="8">
        <f t="shared" si="1"/>
        <v>49110</v>
      </c>
      <c r="B39" s="8"/>
      <c r="C39" s="5">
        <f>'Series Detail'!R41</f>
        <v>3752905.3</v>
      </c>
      <c r="D39" s="5"/>
      <c r="E39" s="5">
        <f>'Series Detail'!S41</f>
        <v>42828451.25</v>
      </c>
      <c r="F39" s="8"/>
      <c r="G39" s="5">
        <f>'Series Detail'!T41</f>
        <v>93722094.700000003</v>
      </c>
      <c r="H39" s="5"/>
      <c r="I39" s="5">
        <f>'Series Detail'!U41</f>
        <v>0</v>
      </c>
      <c r="J39" s="5"/>
      <c r="K39" s="5">
        <f t="shared" si="0"/>
        <v>140303451.25</v>
      </c>
      <c r="L39" s="5"/>
      <c r="M39" s="5">
        <f>+K38+K39</f>
        <v>349946040</v>
      </c>
    </row>
    <row r="40" spans="1:13" ht="13.9" x14ac:dyDescent="0.4">
      <c r="A40" s="8">
        <f t="shared" si="1"/>
        <v>49293</v>
      </c>
      <c r="B40" s="8"/>
      <c r="C40" s="5">
        <f>'Series Detail'!R42</f>
        <v>8688510.75</v>
      </c>
      <c r="D40" s="5"/>
      <c r="E40" s="5">
        <f>'Series Detail'!S42</f>
        <v>42774788.75</v>
      </c>
      <c r="F40" s="8"/>
      <c r="G40" s="5">
        <f>'Series Detail'!T42</f>
        <v>158166489.25</v>
      </c>
      <c r="H40" s="5"/>
      <c r="I40" s="5">
        <f>'Series Detail'!U42</f>
        <v>0</v>
      </c>
      <c r="J40" s="5"/>
      <c r="K40" s="5">
        <f t="shared" si="0"/>
        <v>209629788.75</v>
      </c>
      <c r="L40" s="5"/>
      <c r="M40" s="4"/>
    </row>
    <row r="41" spans="1:13" ht="13.9" x14ac:dyDescent="0.4">
      <c r="A41" s="8">
        <f t="shared" si="1"/>
        <v>49475</v>
      </c>
      <c r="B41" s="8"/>
      <c r="C41" s="5">
        <f>'Series Detail'!R43</f>
        <v>3655790.9</v>
      </c>
      <c r="D41" s="5"/>
      <c r="E41" s="5">
        <f>'Series Detail'!S43</f>
        <v>42641738.75</v>
      </c>
      <c r="F41" s="8"/>
      <c r="G41" s="5">
        <f>'Series Detail'!T43</f>
        <v>94019209.099999994</v>
      </c>
      <c r="H41" s="5"/>
      <c r="I41" s="5">
        <f>'Series Detail'!U43</f>
        <v>0</v>
      </c>
      <c r="J41" s="5"/>
      <c r="K41" s="5">
        <f t="shared" si="0"/>
        <v>140316738.75</v>
      </c>
      <c r="L41" s="5"/>
      <c r="M41" s="5">
        <f>+K40+K41</f>
        <v>349946527.5</v>
      </c>
    </row>
    <row r="42" spans="1:13" ht="13.9" x14ac:dyDescent="0.4">
      <c r="A42" s="8">
        <f t="shared" si="1"/>
        <v>49658</v>
      </c>
      <c r="B42" s="8"/>
      <c r="C42" s="5">
        <f>'Series Detail'!R44</f>
        <v>6920940.4499999993</v>
      </c>
      <c r="D42" s="5"/>
      <c r="E42" s="5">
        <f>'Series Detail'!S44</f>
        <v>42581951.25</v>
      </c>
      <c r="F42" s="8"/>
      <c r="G42" s="5">
        <f>'Series Detail'!T44</f>
        <v>160104059.54999998</v>
      </c>
      <c r="H42" s="5"/>
      <c r="I42" s="5">
        <f>'Series Detail'!U44</f>
        <v>0</v>
      </c>
      <c r="J42" s="5"/>
      <c r="K42" s="5">
        <f t="shared" si="0"/>
        <v>209606951.25</v>
      </c>
      <c r="L42" s="5"/>
      <c r="M42" s="4"/>
    </row>
    <row r="43" spans="1:13" ht="13.9" x14ac:dyDescent="0.4">
      <c r="A43" s="8">
        <f t="shared" si="1"/>
        <v>49841</v>
      </c>
      <c r="B43" s="8"/>
      <c r="C43" s="5">
        <f>'Series Detail'!R45</f>
        <v>3599544.9000000004</v>
      </c>
      <c r="D43" s="5"/>
      <c r="E43" s="5">
        <f>'Series Detail'!S45</f>
        <v>42449833.75</v>
      </c>
      <c r="F43" s="8"/>
      <c r="G43" s="5">
        <f>'Series Detail'!T45</f>
        <v>94290455.100000009</v>
      </c>
      <c r="H43" s="5"/>
      <c r="I43" s="5">
        <f>'Series Detail'!U45</f>
        <v>0</v>
      </c>
      <c r="J43" s="5"/>
      <c r="K43" s="5">
        <f t="shared" si="0"/>
        <v>140339833.75</v>
      </c>
      <c r="L43" s="5"/>
      <c r="M43" s="5">
        <f>+K42+K43</f>
        <v>349946785</v>
      </c>
    </row>
    <row r="44" spans="1:13" ht="13.9" x14ac:dyDescent="0.4">
      <c r="A44" s="8">
        <f t="shared" si="1"/>
        <v>50024</v>
      </c>
      <c r="B44" s="8"/>
      <c r="C44" s="5">
        <f>'Series Detail'!R46</f>
        <v>6968356.5999999996</v>
      </c>
      <c r="D44" s="5"/>
      <c r="E44" s="5">
        <f>'Series Detail'!S46</f>
        <v>42383471.25</v>
      </c>
      <c r="F44" s="8"/>
      <c r="G44" s="5">
        <f>'Series Detail'!T46</f>
        <v>160646643.39999998</v>
      </c>
      <c r="H44" s="5"/>
      <c r="I44" s="5">
        <f>'Series Detail'!U46</f>
        <v>0</v>
      </c>
      <c r="J44" s="5"/>
      <c r="K44" s="5">
        <f t="shared" si="0"/>
        <v>209998471.24999997</v>
      </c>
      <c r="L44" s="5"/>
      <c r="M44" s="4"/>
    </row>
    <row r="45" spans="1:13" ht="13.9" x14ac:dyDescent="0.4">
      <c r="A45" s="8">
        <f t="shared" si="1"/>
        <v>50206</v>
      </c>
      <c r="B45" s="8"/>
      <c r="C45" s="5">
        <f>'Series Detail'!R47</f>
        <v>3288883.7</v>
      </c>
      <c r="D45" s="5"/>
      <c r="E45" s="5">
        <f>'Series Detail'!S47</f>
        <v>42234076.25</v>
      </c>
      <c r="F45" s="8"/>
      <c r="G45" s="5">
        <f>'Series Detail'!T47</f>
        <v>94426116.299999997</v>
      </c>
      <c r="H45" s="5"/>
      <c r="I45" s="5">
        <f>'Series Detail'!U47</f>
        <v>0</v>
      </c>
      <c r="J45" s="5"/>
      <c r="K45" s="5">
        <f t="shared" si="0"/>
        <v>139949076.25</v>
      </c>
      <c r="L45" s="5"/>
      <c r="M45" s="5">
        <f>+K44+K45</f>
        <v>349947547.5</v>
      </c>
    </row>
    <row r="46" spans="1:13" ht="13.9" x14ac:dyDescent="0.4">
      <c r="A46" s="8">
        <f t="shared" si="1"/>
        <v>50389</v>
      </c>
      <c r="B46" s="8"/>
      <c r="C46" s="5">
        <f>'Series Detail'!R48</f>
        <v>6997288.3499999996</v>
      </c>
      <c r="D46" s="5"/>
      <c r="E46" s="5">
        <f>'Series Detail'!S48</f>
        <v>42173813.75</v>
      </c>
      <c r="F46" s="8"/>
      <c r="G46" s="5">
        <f>'Series Detail'!T48</f>
        <v>161127711.65000001</v>
      </c>
      <c r="H46" s="5"/>
      <c r="I46" s="5">
        <f>'Series Detail'!U48</f>
        <v>0</v>
      </c>
      <c r="J46" s="5"/>
      <c r="K46" s="5">
        <f t="shared" si="0"/>
        <v>210298813.75</v>
      </c>
      <c r="L46" s="5"/>
      <c r="M46" s="4"/>
    </row>
    <row r="47" spans="1:13" ht="13.9" x14ac:dyDescent="0.4">
      <c r="A47" s="8">
        <f t="shared" si="1"/>
        <v>50571</v>
      </c>
      <c r="B47" s="8"/>
      <c r="C47" s="5">
        <f>'Series Detail'!R49</f>
        <v>3072307.6</v>
      </c>
      <c r="D47" s="5"/>
      <c r="E47" s="5">
        <f>'Series Detail'!S49</f>
        <v>42009741.25</v>
      </c>
      <c r="F47" s="8"/>
      <c r="G47" s="5">
        <f>'Series Detail'!T49</f>
        <v>94567692.400000006</v>
      </c>
      <c r="H47" s="5"/>
      <c r="I47" s="5">
        <f>'Series Detail'!U49</f>
        <v>0</v>
      </c>
      <c r="J47" s="5"/>
      <c r="K47" s="5">
        <f t="shared" si="0"/>
        <v>139649741.25</v>
      </c>
      <c r="L47" s="5"/>
      <c r="M47" s="5">
        <f>+K46+K47</f>
        <v>349948555</v>
      </c>
    </row>
    <row r="48" spans="1:13" ht="13.9" x14ac:dyDescent="0.4">
      <c r="A48" s="8">
        <f t="shared" si="1"/>
        <v>50754</v>
      </c>
      <c r="B48" s="8"/>
      <c r="C48" s="5">
        <f>'Series Detail'!R50</f>
        <v>6878956.4500000002</v>
      </c>
      <c r="D48" s="5"/>
      <c r="E48" s="5">
        <f>'Series Detail'!S50</f>
        <v>41952366.25</v>
      </c>
      <c r="F48" s="8"/>
      <c r="G48" s="5">
        <f>'Series Detail'!T50</f>
        <v>161556043.54999998</v>
      </c>
      <c r="H48" s="5"/>
      <c r="I48" s="5">
        <f>'Series Detail'!U50</f>
        <v>0</v>
      </c>
      <c r="J48" s="5"/>
      <c r="K48" s="5">
        <f t="shared" si="0"/>
        <v>210387366.25</v>
      </c>
      <c r="L48" s="5"/>
      <c r="M48" s="4"/>
    </row>
    <row r="49" spans="1:13" ht="13.9" x14ac:dyDescent="0.4">
      <c r="A49" s="8">
        <f t="shared" si="1"/>
        <v>50936</v>
      </c>
      <c r="B49" s="8"/>
      <c r="C49" s="5">
        <f>'Series Detail'!R51</f>
        <v>3035753.4</v>
      </c>
      <c r="D49" s="5"/>
      <c r="E49" s="5">
        <f>'Series Detail'!S51</f>
        <v>41777427.5</v>
      </c>
      <c r="F49" s="8"/>
      <c r="G49" s="5">
        <f>'Series Detail'!T51</f>
        <v>94749246.599999994</v>
      </c>
      <c r="H49" s="5"/>
      <c r="I49" s="5">
        <f>'Series Detail'!U51</f>
        <v>0</v>
      </c>
      <c r="J49" s="5"/>
      <c r="K49" s="5">
        <f t="shared" si="0"/>
        <v>139562427.5</v>
      </c>
      <c r="L49" s="5"/>
      <c r="M49" s="5">
        <f>+K48+K49</f>
        <v>349949793.75</v>
      </c>
    </row>
    <row r="50" spans="1:13" ht="13.9" x14ac:dyDescent="0.4">
      <c r="A50" s="8">
        <f t="shared" si="1"/>
        <v>51119</v>
      </c>
      <c r="B50" s="8"/>
      <c r="C50" s="5">
        <f>'Series Detail'!R52</f>
        <v>6563233.6500000004</v>
      </c>
      <c r="D50" s="5"/>
      <c r="E50" s="5">
        <f>'Series Detail'!S52</f>
        <v>41715827.5</v>
      </c>
      <c r="F50" s="8"/>
      <c r="G50" s="5">
        <f>'Series Detail'!T52</f>
        <v>161811766.35000002</v>
      </c>
      <c r="H50" s="5"/>
      <c r="I50" s="5">
        <f>'Series Detail'!U52</f>
        <v>0</v>
      </c>
      <c r="J50" s="5"/>
      <c r="K50" s="5">
        <f t="shared" si="0"/>
        <v>210090827.50000003</v>
      </c>
      <c r="L50" s="5"/>
      <c r="M50" s="4"/>
    </row>
    <row r="51" spans="1:13" ht="13.9" x14ac:dyDescent="0.4">
      <c r="A51" s="8">
        <f t="shared" si="1"/>
        <v>51302</v>
      </c>
      <c r="B51" s="8"/>
      <c r="C51" s="5">
        <f>'Series Detail'!R53</f>
        <v>2675300</v>
      </c>
      <c r="D51" s="5"/>
      <c r="E51" s="5">
        <f>'Series Detail'!S53</f>
        <v>41544852.5</v>
      </c>
      <c r="F51" s="8"/>
      <c r="G51" s="5">
        <f>'Series Detail'!T53</f>
        <v>94779700</v>
      </c>
      <c r="H51" s="5"/>
      <c r="I51" s="5">
        <f>'Series Detail'!U53</f>
        <v>0</v>
      </c>
      <c r="J51" s="5"/>
      <c r="K51" s="5">
        <f t="shared" si="0"/>
        <v>138999852.5</v>
      </c>
      <c r="L51" s="5"/>
      <c r="M51" s="5">
        <f>+K50+K51</f>
        <v>349090680</v>
      </c>
    </row>
    <row r="52" spans="1:13" ht="13.9" x14ac:dyDescent="0.4">
      <c r="A52" s="8">
        <f t="shared" si="1"/>
        <v>51485</v>
      </c>
      <c r="B52" s="8"/>
      <c r="C52" s="5">
        <f>'Series Detail'!R54</f>
        <v>5842839.3499999996</v>
      </c>
      <c r="D52" s="5"/>
      <c r="E52" s="5">
        <f>'Series Detail'!S54</f>
        <v>41494465</v>
      </c>
      <c r="F52" s="8"/>
      <c r="G52" s="5">
        <f>'Series Detail'!T54</f>
        <v>161867160.65000001</v>
      </c>
      <c r="H52" s="5"/>
      <c r="I52" s="5">
        <f>'Series Detail'!U54</f>
        <v>0</v>
      </c>
      <c r="J52" s="5"/>
      <c r="K52" s="5">
        <f t="shared" si="0"/>
        <v>209204465</v>
      </c>
      <c r="L52" s="5"/>
      <c r="M52" s="4"/>
    </row>
    <row r="53" spans="1:13" ht="13.9" x14ac:dyDescent="0.4">
      <c r="A53" s="8">
        <f t="shared" si="1"/>
        <v>51667</v>
      </c>
      <c r="B53" s="8"/>
      <c r="C53" s="5">
        <f>'Series Detail'!R55</f>
        <v>14792558</v>
      </c>
      <c r="D53" s="5"/>
      <c r="E53" s="5">
        <f>'Series Detail'!S55</f>
        <v>41347236.25</v>
      </c>
      <c r="F53" s="8"/>
      <c r="G53" s="5">
        <f>'Series Detail'!T55</f>
        <v>81897298.599999994</v>
      </c>
      <c r="H53" s="5"/>
      <c r="I53" s="5">
        <f>'Series Detail'!U55</f>
        <v>0</v>
      </c>
      <c r="J53" s="5"/>
      <c r="K53" s="5">
        <f t="shared" si="0"/>
        <v>138037092.84999999</v>
      </c>
      <c r="L53" s="5"/>
      <c r="M53" s="5">
        <f>+K52+K53</f>
        <v>347241557.85000002</v>
      </c>
    </row>
    <row r="54" spans="1:13" ht="13.9" x14ac:dyDescent="0.4">
      <c r="A54" s="8">
        <f t="shared" si="1"/>
        <v>51850</v>
      </c>
      <c r="B54" s="8"/>
      <c r="C54" s="5">
        <f>'Series Detail'!R56</f>
        <v>123051135.40000001</v>
      </c>
      <c r="D54" s="5"/>
      <c r="E54" s="5">
        <f>'Series Detail'!S56</f>
        <v>41323861.25</v>
      </c>
      <c r="F54" s="8"/>
      <c r="G54" s="5">
        <f>'Series Detail'!T56</f>
        <v>34863864.600000001</v>
      </c>
      <c r="H54" s="5"/>
      <c r="I54" s="5">
        <f>'Series Detail'!U56</f>
        <v>0</v>
      </c>
      <c r="J54" s="5"/>
      <c r="K54" s="5">
        <f t="shared" si="0"/>
        <v>199238861.25</v>
      </c>
      <c r="L54" s="5"/>
      <c r="M54" s="4"/>
    </row>
    <row r="55" spans="1:13" ht="13.9" x14ac:dyDescent="0.4">
      <c r="A55" s="8">
        <f t="shared" si="1"/>
        <v>52032</v>
      </c>
      <c r="B55" s="8"/>
      <c r="C55" s="5">
        <f>'Series Detail'!R57</f>
        <v>109365000</v>
      </c>
      <c r="D55" s="5"/>
      <c r="E55" s="5">
        <f>'Series Detail'!S57</f>
        <v>38638262.5</v>
      </c>
      <c r="F55" s="8"/>
      <c r="G55" s="5">
        <f>'Series Detail'!T57</f>
        <v>0</v>
      </c>
      <c r="H55" s="5"/>
      <c r="I55" s="5">
        <f>'Series Detail'!U57</f>
        <v>0</v>
      </c>
      <c r="J55" s="5"/>
      <c r="K55" s="5">
        <f t="shared" si="0"/>
        <v>148003262.5</v>
      </c>
      <c r="L55" s="5"/>
      <c r="M55" s="5">
        <f>+K54+K55</f>
        <v>347242123.75</v>
      </c>
    </row>
    <row r="56" spans="1:13" ht="13.9" x14ac:dyDescent="0.4">
      <c r="A56" s="8">
        <f t="shared" si="1"/>
        <v>52215</v>
      </c>
      <c r="B56" s="8"/>
      <c r="C56" s="5">
        <f>'Series Detail'!R58</f>
        <v>5488967.5</v>
      </c>
      <c r="D56" s="5"/>
      <c r="E56" s="5">
        <f>'Series Detail'!S58</f>
        <v>36132231.25</v>
      </c>
      <c r="F56" s="8"/>
      <c r="G56" s="5">
        <f>'Series Detail'!T58</f>
        <v>2206032.5</v>
      </c>
      <c r="H56" s="5"/>
      <c r="I56" s="5">
        <f>'Series Detail'!U58</f>
        <v>0</v>
      </c>
      <c r="J56" s="5"/>
      <c r="K56" s="5">
        <f t="shared" si="0"/>
        <v>43827231.25</v>
      </c>
      <c r="L56" s="5"/>
      <c r="M56" s="4"/>
    </row>
    <row r="57" spans="1:13" ht="13.9" x14ac:dyDescent="0.4">
      <c r="A57" s="8">
        <f t="shared" si="1"/>
        <v>52397</v>
      </c>
      <c r="B57" s="8"/>
      <c r="C57" s="5">
        <f>'Series Detail'!R59</f>
        <v>36068329.5</v>
      </c>
      <c r="D57" s="5"/>
      <c r="E57" s="5">
        <f>'Series Detail'!S59</f>
        <v>35943325</v>
      </c>
      <c r="F57" s="8"/>
      <c r="G57" s="5">
        <f>'Series Detail'!T59</f>
        <v>231401670.5</v>
      </c>
      <c r="H57" s="5"/>
      <c r="I57" s="5">
        <f>'Series Detail'!U59</f>
        <v>0</v>
      </c>
      <c r="J57" s="5"/>
      <c r="K57" s="5">
        <f t="shared" si="0"/>
        <v>303413325</v>
      </c>
      <c r="L57" s="5"/>
      <c r="M57" s="5">
        <f>+K56+K57</f>
        <v>347240556.25</v>
      </c>
    </row>
    <row r="58" spans="1:13" ht="13.9" x14ac:dyDescent="0.4">
      <c r="A58" s="8">
        <f t="shared" si="1"/>
        <v>52580</v>
      </c>
      <c r="B58" s="8"/>
      <c r="C58" s="5">
        <f>'Series Detail'!R60</f>
        <v>5733537.5999999996</v>
      </c>
      <c r="D58" s="5"/>
      <c r="E58" s="5">
        <f>'Series Detail'!S60</f>
        <v>35943325</v>
      </c>
      <c r="F58" s="8"/>
      <c r="G58" s="5">
        <f>'Series Detail'!T60</f>
        <v>2351462.3999999999</v>
      </c>
      <c r="H58" s="5"/>
      <c r="I58" s="5">
        <f>'Series Detail'!U60</f>
        <v>0</v>
      </c>
      <c r="J58" s="5"/>
      <c r="K58" s="5">
        <f t="shared" si="0"/>
        <v>44028325</v>
      </c>
      <c r="L58" s="5"/>
      <c r="M58" s="4"/>
    </row>
    <row r="59" spans="1:13" ht="13.9" x14ac:dyDescent="0.4">
      <c r="A59" s="8">
        <f t="shared" si="1"/>
        <v>52763</v>
      </c>
      <c r="B59" s="8"/>
      <c r="C59" s="5">
        <f>'Series Detail'!R61</f>
        <v>33701220</v>
      </c>
      <c r="D59" s="5"/>
      <c r="E59" s="5">
        <f>'Series Detail'!S61</f>
        <v>35742415</v>
      </c>
      <c r="F59" s="8"/>
      <c r="G59" s="5">
        <f>'Series Detail'!T61</f>
        <v>233768780</v>
      </c>
      <c r="H59" s="5"/>
      <c r="I59" s="5">
        <f>'Series Detail'!U61</f>
        <v>0</v>
      </c>
      <c r="J59" s="5"/>
      <c r="K59" s="5">
        <f t="shared" si="0"/>
        <v>303212415</v>
      </c>
      <c r="L59" s="5"/>
      <c r="M59" s="5">
        <f>+K58+K59</f>
        <v>347240740</v>
      </c>
    </row>
    <row r="60" spans="1:13" ht="13.9" x14ac:dyDescent="0.4">
      <c r="A60" s="8">
        <f t="shared" si="1"/>
        <v>52946</v>
      </c>
      <c r="B60" s="8"/>
      <c r="C60" s="5">
        <f>'Series Detail'!R62</f>
        <v>6032577.5999999996</v>
      </c>
      <c r="D60" s="5"/>
      <c r="E60" s="5">
        <f>'Series Detail'!S62</f>
        <v>35742415</v>
      </c>
      <c r="F60" s="8"/>
      <c r="G60" s="5">
        <f>'Series Detail'!T62</f>
        <v>2472422.3999999999</v>
      </c>
      <c r="H60" s="5"/>
      <c r="I60" s="5">
        <f>'Series Detail'!U62</f>
        <v>0</v>
      </c>
      <c r="J60" s="5"/>
      <c r="K60" s="5">
        <f t="shared" si="0"/>
        <v>44247415</v>
      </c>
      <c r="L60" s="5"/>
      <c r="M60" s="4"/>
    </row>
    <row r="61" spans="1:13" ht="13.9" x14ac:dyDescent="0.4">
      <c r="A61" s="8">
        <f t="shared" si="1"/>
        <v>53128</v>
      </c>
      <c r="B61" s="8"/>
      <c r="C61" s="5">
        <f>'Series Detail'!R63</f>
        <v>31689253.199999999</v>
      </c>
      <c r="D61" s="5"/>
      <c r="E61" s="5">
        <f>'Series Detail'!S63</f>
        <v>35531067.5</v>
      </c>
      <c r="F61" s="8"/>
      <c r="G61" s="5">
        <f>'Series Detail'!T63</f>
        <v>235775746.80000001</v>
      </c>
      <c r="H61" s="5"/>
      <c r="I61" s="5">
        <f>'Series Detail'!U63</f>
        <v>0</v>
      </c>
      <c r="J61" s="5"/>
      <c r="K61" s="5">
        <f t="shared" si="0"/>
        <v>302996067.5</v>
      </c>
      <c r="L61" s="5"/>
      <c r="M61" s="5">
        <f>+K60+K61</f>
        <v>347243482.5</v>
      </c>
    </row>
    <row r="62" spans="1:13" ht="13.9" x14ac:dyDescent="0.4">
      <c r="A62" s="8">
        <f t="shared" si="1"/>
        <v>53311</v>
      </c>
      <c r="B62" s="8"/>
      <c r="C62" s="5">
        <f>'Series Detail'!R64</f>
        <v>6334198.4000000004</v>
      </c>
      <c r="D62" s="5"/>
      <c r="E62" s="5">
        <f>'Series Detail'!S64</f>
        <v>35531067.5</v>
      </c>
      <c r="F62" s="8"/>
      <c r="G62" s="5">
        <f>'Series Detail'!T64</f>
        <v>2595801.6</v>
      </c>
      <c r="H62" s="5"/>
      <c r="I62" s="5">
        <f>'Series Detail'!U64</f>
        <v>0</v>
      </c>
      <c r="J62" s="5"/>
      <c r="K62" s="5">
        <f t="shared" si="0"/>
        <v>44461067.5</v>
      </c>
      <c r="L62" s="5"/>
      <c r="M62" s="4"/>
    </row>
    <row r="63" spans="1:13" ht="13.9" x14ac:dyDescent="0.4">
      <c r="A63" s="8">
        <f t="shared" si="1"/>
        <v>53493</v>
      </c>
      <c r="B63" s="8"/>
      <c r="C63" s="5">
        <f>'Series Detail'!R65</f>
        <v>29798832.699999999</v>
      </c>
      <c r="D63" s="5"/>
      <c r="E63" s="5">
        <f>'Series Detail'!S65</f>
        <v>35309158.75</v>
      </c>
      <c r="F63" s="8"/>
      <c r="G63" s="5">
        <f>'Series Detail'!T65</f>
        <v>237671167.30000001</v>
      </c>
      <c r="H63" s="5"/>
      <c r="I63" s="5">
        <f>'Series Detail'!U65</f>
        <v>0</v>
      </c>
      <c r="J63" s="5"/>
      <c r="K63" s="5">
        <f t="shared" si="0"/>
        <v>302779158.75</v>
      </c>
      <c r="L63" s="5"/>
      <c r="M63" s="5">
        <f>+K62+K63</f>
        <v>347240226.25</v>
      </c>
    </row>
    <row r="64" spans="1:13" ht="13.9" x14ac:dyDescent="0.4">
      <c r="A64" s="8">
        <f t="shared" si="1"/>
        <v>53676</v>
      </c>
      <c r="B64" s="8"/>
      <c r="C64" s="5">
        <f>'Series Detail'!R66</f>
        <v>33946142.399999999</v>
      </c>
      <c r="D64" s="5"/>
      <c r="E64" s="5">
        <f>'Series Detail'!S66</f>
        <v>35309158.75</v>
      </c>
      <c r="F64" s="8"/>
      <c r="G64" s="5">
        <f>'Series Detail'!T66</f>
        <v>2728857.6000000001</v>
      </c>
      <c r="H64" s="5"/>
      <c r="I64" s="5">
        <f>'Series Detail'!U66</f>
        <v>0</v>
      </c>
      <c r="J64" s="5"/>
      <c r="K64" s="5">
        <f t="shared" si="0"/>
        <v>71984158.75</v>
      </c>
      <c r="L64" s="5"/>
      <c r="M64" s="4"/>
    </row>
    <row r="65" spans="1:13" ht="13.9" x14ac:dyDescent="0.4">
      <c r="A65" s="8">
        <f t="shared" si="1"/>
        <v>53858</v>
      </c>
      <c r="B65" s="8"/>
      <c r="C65" s="5">
        <f>'Series Detail'!R67</f>
        <v>49661212.200000003</v>
      </c>
      <c r="D65" s="5"/>
      <c r="E65" s="5">
        <f>'Series Detail'!S67</f>
        <v>34379687.5</v>
      </c>
      <c r="F65" s="8"/>
      <c r="G65" s="5">
        <f>'Series Detail'!T67</f>
        <v>191218787.80000001</v>
      </c>
      <c r="H65" s="5"/>
      <c r="I65" s="5">
        <f>'Series Detail'!U67</f>
        <v>0</v>
      </c>
      <c r="J65" s="5"/>
      <c r="K65" s="5">
        <f t="shared" si="0"/>
        <v>275259687.5</v>
      </c>
      <c r="L65" s="5"/>
      <c r="M65" s="5">
        <f>+K64+K65</f>
        <v>347243846.25</v>
      </c>
    </row>
    <row r="66" spans="1:13" ht="13.9" x14ac:dyDescent="0.4">
      <c r="A66" s="8">
        <f t="shared" si="1"/>
        <v>54041</v>
      </c>
      <c r="B66" s="8"/>
      <c r="C66" s="5">
        <f>'Series Detail'!R68</f>
        <v>143868248</v>
      </c>
      <c r="D66" s="5"/>
      <c r="E66" s="5">
        <f>'Series Detail'!S68</f>
        <v>33683556.25</v>
      </c>
      <c r="F66" s="8"/>
      <c r="G66" s="5">
        <f>'Series Detail'!T68</f>
        <v>2866752</v>
      </c>
      <c r="H66" s="5"/>
      <c r="I66" s="5">
        <f>'Series Detail'!U68</f>
        <v>0</v>
      </c>
      <c r="J66" s="5"/>
      <c r="K66" s="5">
        <f t="shared" si="0"/>
        <v>180418556.25</v>
      </c>
      <c r="L66" s="5"/>
      <c r="M66" s="4"/>
    </row>
    <row r="67" spans="1:13" ht="13.9" x14ac:dyDescent="0.4">
      <c r="A67" s="8">
        <f t="shared" si="1"/>
        <v>54224</v>
      </c>
      <c r="B67" s="8"/>
      <c r="C67" s="5">
        <f>'Series Detail'!R69</f>
        <v>136865000</v>
      </c>
      <c r="D67" s="5"/>
      <c r="E67" s="5">
        <f>'Series Detail'!S69</f>
        <v>29959515</v>
      </c>
      <c r="F67" s="8"/>
      <c r="G67" s="5">
        <f>'Series Detail'!T69</f>
        <v>0</v>
      </c>
      <c r="H67" s="5"/>
      <c r="I67" s="5">
        <f>'Series Detail'!U69</f>
        <v>0</v>
      </c>
      <c r="J67" s="5"/>
      <c r="K67" s="5">
        <f t="shared" si="0"/>
        <v>166824515</v>
      </c>
      <c r="L67" s="5"/>
      <c r="M67" s="5">
        <f>+K66+K67</f>
        <v>347243071.25</v>
      </c>
    </row>
    <row r="68" spans="1:13" ht="13.9" x14ac:dyDescent="0.4">
      <c r="A68" s="8">
        <f t="shared" si="1"/>
        <v>54407</v>
      </c>
      <c r="B68" s="8"/>
      <c r="C68" s="5">
        <f>'Series Detail'!R70</f>
        <v>148060000</v>
      </c>
      <c r="D68" s="5"/>
      <c r="E68" s="5">
        <f>'Series Detail'!S70</f>
        <v>26480748.75</v>
      </c>
      <c r="F68" s="8"/>
      <c r="G68" s="5">
        <f>'Series Detail'!T70</f>
        <v>0</v>
      </c>
      <c r="H68" s="5"/>
      <c r="I68" s="5">
        <f>'Series Detail'!U70</f>
        <v>0</v>
      </c>
      <c r="J68" s="5"/>
      <c r="K68" s="5">
        <f t="shared" si="0"/>
        <v>174540748.75</v>
      </c>
      <c r="L68" s="5"/>
      <c r="M68" s="4"/>
    </row>
    <row r="69" spans="1:13" ht="13.9" x14ac:dyDescent="0.4">
      <c r="A69" s="8">
        <f t="shared" si="1"/>
        <v>54589</v>
      </c>
      <c r="B69" s="8"/>
      <c r="C69" s="5">
        <f>'Series Detail'!R71</f>
        <v>145094595.30000001</v>
      </c>
      <c r="D69" s="5"/>
      <c r="E69" s="5">
        <f>'Series Detail'!S71</f>
        <v>22719350</v>
      </c>
      <c r="F69" s="8"/>
      <c r="G69" s="5">
        <f>'Series Detail'!T71</f>
        <v>4883964</v>
      </c>
      <c r="H69" s="5"/>
      <c r="I69" s="5">
        <f>'Series Detail'!U71</f>
        <v>0</v>
      </c>
      <c r="J69" s="5"/>
      <c r="K69" s="5">
        <f t="shared" si="0"/>
        <v>172697909.30000001</v>
      </c>
      <c r="L69" s="5"/>
      <c r="M69" s="5">
        <f>+K68+K69</f>
        <v>347238658.05000001</v>
      </c>
    </row>
    <row r="70" spans="1:13" ht="13.9" x14ac:dyDescent="0.4">
      <c r="A70" s="8">
        <f t="shared" si="1"/>
        <v>54772</v>
      </c>
      <c r="B70" s="8"/>
      <c r="C70" s="5">
        <f>'Series Detail'!R72</f>
        <v>141756263.55000001</v>
      </c>
      <c r="D70" s="5"/>
      <c r="E70" s="5">
        <f>'Series Detail'!S72</f>
        <v>19061707.5</v>
      </c>
      <c r="F70" s="8"/>
      <c r="G70" s="5">
        <f>'Series Detail'!T72</f>
        <v>43898910.299999997</v>
      </c>
      <c r="H70" s="5"/>
      <c r="I70" s="5">
        <f>'Series Detail'!U72</f>
        <v>0</v>
      </c>
      <c r="J70" s="5"/>
      <c r="K70" s="5">
        <f t="shared" si="0"/>
        <v>204716881.35000002</v>
      </c>
      <c r="L70" s="5"/>
      <c r="M70" s="4"/>
    </row>
    <row r="71" spans="1:13" ht="13.9" x14ac:dyDescent="0.4">
      <c r="A71" s="8">
        <f t="shared" si="1"/>
        <v>54954</v>
      </c>
      <c r="B71" s="8"/>
      <c r="C71" s="5">
        <f>'Series Detail'!R73</f>
        <v>126960000</v>
      </c>
      <c r="D71" s="5"/>
      <c r="E71" s="5">
        <f>'Series Detail'!S73</f>
        <v>15559148.75</v>
      </c>
      <c r="F71" s="8"/>
      <c r="G71" s="5">
        <f>'Series Detail'!T73</f>
        <v>0</v>
      </c>
      <c r="H71" s="5"/>
      <c r="I71" s="5">
        <f>'Series Detail'!U73</f>
        <v>0</v>
      </c>
      <c r="J71" s="5"/>
      <c r="K71" s="5">
        <f t="shared" si="0"/>
        <v>142519148.75</v>
      </c>
      <c r="L71" s="5"/>
      <c r="M71" s="5">
        <f>+K70+K71</f>
        <v>347236030.10000002</v>
      </c>
    </row>
    <row r="72" spans="1:13" ht="13.9" x14ac:dyDescent="0.4">
      <c r="A72" s="8">
        <f t="shared" si="1"/>
        <v>55137</v>
      </c>
      <c r="B72" s="8"/>
      <c r="C72" s="5">
        <f>'Series Detail'!R74</f>
        <v>25645714.300000001</v>
      </c>
      <c r="D72" s="5"/>
      <c r="E72" s="5">
        <f>'Series Detail'!S74</f>
        <v>12168750</v>
      </c>
      <c r="F72" s="8"/>
      <c r="G72" s="5">
        <f>'Series Detail'!T74</f>
        <v>170938578.30000001</v>
      </c>
      <c r="H72" s="5"/>
      <c r="I72" s="5">
        <f>'Series Detail'!U74</f>
        <v>0</v>
      </c>
      <c r="J72" s="5"/>
      <c r="K72" s="5">
        <f t="shared" si="0"/>
        <v>208753042.60000002</v>
      </c>
      <c r="L72" s="5"/>
      <c r="M72" s="4"/>
    </row>
    <row r="73" spans="1:13" ht="13.9" x14ac:dyDescent="0.4">
      <c r="A73" s="8">
        <f t="shared" si="1"/>
        <v>55319</v>
      </c>
      <c r="B73" s="8"/>
      <c r="C73" s="5">
        <f>'Series Detail'!R75</f>
        <v>15218139.35</v>
      </c>
      <c r="D73" s="5"/>
      <c r="E73" s="5">
        <f>'Series Detail'!S75</f>
        <v>12088875</v>
      </c>
      <c r="F73" s="8"/>
      <c r="G73" s="5">
        <f>'Series Detail'!T75</f>
        <v>111183089.55</v>
      </c>
      <c r="H73" s="5"/>
      <c r="I73" s="5">
        <f>'Series Detail'!U75</f>
        <v>0</v>
      </c>
      <c r="J73" s="5"/>
      <c r="K73" s="5">
        <f t="shared" si="0"/>
        <v>138490103.90000001</v>
      </c>
      <c r="L73" s="5"/>
      <c r="M73" s="5">
        <f>+K72+K73</f>
        <v>347243146.5</v>
      </c>
    </row>
    <row r="74" spans="1:13" ht="13.9" x14ac:dyDescent="0.4">
      <c r="A74" s="8">
        <f t="shared" si="1"/>
        <v>55502</v>
      </c>
      <c r="B74" s="8"/>
      <c r="C74" s="5">
        <f>'Series Detail'!R76</f>
        <v>46433118.25</v>
      </c>
      <c r="D74" s="5"/>
      <c r="E74" s="5">
        <f>'Series Detail'!S76</f>
        <v>12055125</v>
      </c>
      <c r="F74" s="8"/>
      <c r="G74" s="5">
        <f>'Series Detail'!T76</f>
        <v>150258121.25</v>
      </c>
      <c r="H74" s="5"/>
      <c r="I74" s="5">
        <f>'Series Detail'!U76</f>
        <v>0</v>
      </c>
      <c r="J74" s="5"/>
      <c r="K74" s="5">
        <f t="shared" si="0"/>
        <v>208746364.5</v>
      </c>
      <c r="L74" s="5"/>
      <c r="M74" s="4"/>
    </row>
    <row r="75" spans="1:13" ht="13.9" x14ac:dyDescent="0.4">
      <c r="A75" s="8">
        <f t="shared" si="1"/>
        <v>55685</v>
      </c>
      <c r="B75" s="8"/>
      <c r="C75" s="5">
        <f>'Series Detail'!R77</f>
        <v>127140000</v>
      </c>
      <c r="D75" s="5"/>
      <c r="E75" s="5">
        <f>'Series Detail'!S77</f>
        <v>11354250</v>
      </c>
      <c r="F75" s="8"/>
      <c r="G75" s="5">
        <f>'Series Detail'!T77</f>
        <v>0</v>
      </c>
      <c r="H75" s="5"/>
      <c r="I75" s="5">
        <f>'Series Detail'!U77</f>
        <v>0</v>
      </c>
      <c r="J75" s="5"/>
      <c r="K75" s="5">
        <f t="shared" ref="K75:K91" si="2">SUM(C75:J75)</f>
        <v>138494250</v>
      </c>
      <c r="L75" s="5"/>
      <c r="M75" s="5">
        <f>+K74+K75</f>
        <v>347240614.5</v>
      </c>
    </row>
    <row r="76" spans="1:13" ht="13.9" x14ac:dyDescent="0.4">
      <c r="A76" s="8">
        <f t="shared" ref="A76:A91" si="3">EDATE(A75,6)</f>
        <v>55868</v>
      </c>
      <c r="B76" s="8"/>
      <c r="C76" s="5">
        <f>'Series Detail'!R78</f>
        <v>24777137.699999999</v>
      </c>
      <c r="D76" s="5"/>
      <c r="E76" s="5">
        <f>'Series Detail'!S78</f>
        <v>8175750</v>
      </c>
      <c r="F76" s="8"/>
      <c r="G76" s="5">
        <f>'Series Detail'!T78</f>
        <v>176794160.5</v>
      </c>
      <c r="H76" s="5"/>
      <c r="I76" s="5">
        <f>'Series Detail'!U78</f>
        <v>0</v>
      </c>
      <c r="J76" s="5"/>
      <c r="K76" s="5">
        <f t="shared" si="2"/>
        <v>209747048.19999999</v>
      </c>
      <c r="L76" s="5"/>
      <c r="M76" s="4"/>
    </row>
    <row r="77" spans="1:13" ht="13.9" x14ac:dyDescent="0.4">
      <c r="A77" s="8">
        <f t="shared" si="3"/>
        <v>56050</v>
      </c>
      <c r="B77" s="8"/>
      <c r="C77" s="5">
        <f>'Series Detail'!R79</f>
        <v>129335000</v>
      </c>
      <c r="D77" s="5"/>
      <c r="E77" s="5">
        <f>'Series Detail'!S79</f>
        <v>8158500</v>
      </c>
      <c r="F77" s="8"/>
      <c r="G77" s="5">
        <f>'Series Detail'!T79</f>
        <v>0</v>
      </c>
      <c r="H77" s="5"/>
      <c r="I77" s="5">
        <f>'Series Detail'!U79</f>
        <v>0</v>
      </c>
      <c r="J77" s="5"/>
      <c r="K77" s="5">
        <f t="shared" si="2"/>
        <v>137493500</v>
      </c>
      <c r="L77" s="5"/>
      <c r="M77" s="5">
        <f>+K76+K77</f>
        <v>347240548.19999999</v>
      </c>
    </row>
    <row r="78" spans="1:13" ht="13.9" x14ac:dyDescent="0.4">
      <c r="A78" s="8">
        <f t="shared" si="3"/>
        <v>56233</v>
      </c>
      <c r="B78" s="8"/>
      <c r="C78" s="5">
        <f>'Series Detail'!R80</f>
        <v>32548480.649999999</v>
      </c>
      <c r="D78" s="5"/>
      <c r="E78" s="5">
        <f>'Series Detail'!S80</f>
        <v>4750125</v>
      </c>
      <c r="F78" s="8"/>
      <c r="G78" s="5">
        <f>'Series Detail'!T80</f>
        <v>177986684.5</v>
      </c>
      <c r="H78" s="5"/>
      <c r="I78" s="5">
        <f>'Series Detail'!U80</f>
        <v>0</v>
      </c>
      <c r="J78" s="5"/>
      <c r="K78" s="5">
        <f t="shared" si="2"/>
        <v>215285290.15000001</v>
      </c>
      <c r="L78" s="5"/>
      <c r="M78" s="4"/>
    </row>
    <row r="79" spans="1:13" ht="13.9" x14ac:dyDescent="0.4">
      <c r="A79" s="8">
        <f t="shared" si="3"/>
        <v>56415</v>
      </c>
      <c r="B79" s="8"/>
      <c r="C79" s="5">
        <f>'Series Detail'!R81</f>
        <v>36149432</v>
      </c>
      <c r="D79" s="5"/>
      <c r="E79" s="5">
        <f>'Series Detail'!S81</f>
        <v>4750125</v>
      </c>
      <c r="F79" s="8"/>
      <c r="G79" s="5">
        <f>'Series Detail'!T81</f>
        <v>91058660</v>
      </c>
      <c r="H79" s="5"/>
      <c r="I79" s="5">
        <f>'Series Detail'!U81</f>
        <v>0</v>
      </c>
      <c r="J79" s="5"/>
      <c r="K79" s="5">
        <f t="shared" si="2"/>
        <v>131958217</v>
      </c>
      <c r="L79" s="5"/>
      <c r="M79" s="5">
        <f>+K78+K79</f>
        <v>347243507.14999998</v>
      </c>
    </row>
    <row r="80" spans="1:13" ht="13.9" x14ac:dyDescent="0.4">
      <c r="A80" s="8">
        <f t="shared" si="3"/>
        <v>56598</v>
      </c>
      <c r="B80" s="8"/>
      <c r="C80" s="5">
        <f>'Series Detail'!R82</f>
        <v>30978571.5</v>
      </c>
      <c r="D80" s="5"/>
      <c r="E80" s="5">
        <f>'Series Detail'!S82</f>
        <v>4250125</v>
      </c>
      <c r="F80" s="8"/>
      <c r="G80" s="5">
        <f>'Series Detail'!T82</f>
        <v>180062062</v>
      </c>
      <c r="H80" s="5"/>
      <c r="I80" s="5">
        <f>'Series Detail'!U82</f>
        <v>0</v>
      </c>
      <c r="J80" s="5"/>
      <c r="K80" s="5">
        <f t="shared" si="2"/>
        <v>215290758.5</v>
      </c>
      <c r="L80" s="5"/>
      <c r="M80" s="4"/>
    </row>
    <row r="81" spans="1:13" ht="13.9" x14ac:dyDescent="0.4">
      <c r="A81" s="8">
        <f t="shared" si="3"/>
        <v>56780</v>
      </c>
      <c r="B81" s="8"/>
      <c r="C81" s="5">
        <f>'Series Detail'!R83</f>
        <v>35404535.299999997</v>
      </c>
      <c r="D81" s="5"/>
      <c r="E81" s="5">
        <f>'Series Detail'!S83</f>
        <v>4250125</v>
      </c>
      <c r="F81" s="8"/>
      <c r="G81" s="5">
        <f>'Series Detail'!T83</f>
        <v>92299160.799999997</v>
      </c>
      <c r="H81" s="5"/>
      <c r="I81" s="5">
        <f>'Series Detail'!U83</f>
        <v>0</v>
      </c>
      <c r="J81" s="5"/>
      <c r="K81" s="5">
        <f t="shared" si="2"/>
        <v>131953821.09999999</v>
      </c>
      <c r="L81" s="5"/>
      <c r="M81" s="5">
        <f>+K80+K81</f>
        <v>347244579.60000002</v>
      </c>
    </row>
    <row r="82" spans="1:13" ht="13.9" x14ac:dyDescent="0.4">
      <c r="A82" s="8">
        <f t="shared" si="3"/>
        <v>56963</v>
      </c>
      <c r="B82" s="8"/>
      <c r="C82" s="5">
        <f>'Series Detail'!R84</f>
        <v>42944037.049999997</v>
      </c>
      <c r="D82" s="5"/>
      <c r="E82" s="5">
        <f>'Series Detail'!S84</f>
        <v>3750125</v>
      </c>
      <c r="F82" s="8"/>
      <c r="G82" s="5">
        <f>'Series Detail'!T84</f>
        <v>141683286.59999999</v>
      </c>
      <c r="H82" s="5"/>
      <c r="I82" s="5">
        <f>'Series Detail'!U84</f>
        <v>0</v>
      </c>
      <c r="J82" s="5"/>
      <c r="K82" s="5">
        <f t="shared" si="2"/>
        <v>188377448.64999998</v>
      </c>
      <c r="L82" s="5"/>
      <c r="M82" s="4"/>
    </row>
    <row r="83" spans="1:13" ht="13.9" x14ac:dyDescent="0.4">
      <c r="A83" s="8">
        <f t="shared" si="3"/>
        <v>57146</v>
      </c>
      <c r="B83" s="8"/>
      <c r="C83" s="5">
        <f>'Series Detail'!R85</f>
        <v>26618429.75</v>
      </c>
      <c r="D83" s="5"/>
      <c r="E83" s="5">
        <f>'Series Detail'!S85</f>
        <v>3250125</v>
      </c>
      <c r="F83" s="8"/>
      <c r="G83" s="5">
        <f>'Series Detail'!T85</f>
        <v>128994700</v>
      </c>
      <c r="H83" s="5"/>
      <c r="I83" s="5">
        <f>'Series Detail'!U85</f>
        <v>0</v>
      </c>
      <c r="J83" s="5"/>
      <c r="K83" s="5">
        <f t="shared" si="2"/>
        <v>158863254.75</v>
      </c>
      <c r="L83" s="5"/>
      <c r="M83" s="5">
        <f>+K82+K83</f>
        <v>347240703.39999998</v>
      </c>
    </row>
    <row r="84" spans="1:13" ht="13.9" x14ac:dyDescent="0.4">
      <c r="A84" s="8">
        <f t="shared" si="3"/>
        <v>57329</v>
      </c>
      <c r="B84" s="8"/>
      <c r="C84" s="5">
        <f>'Series Detail'!R86</f>
        <v>36621670.25</v>
      </c>
      <c r="D84" s="5"/>
      <c r="E84" s="5">
        <f>'Series Detail'!S86</f>
        <v>3250125</v>
      </c>
      <c r="F84" s="8"/>
      <c r="G84" s="5">
        <f>'Series Detail'!T86</f>
        <v>175418329.75</v>
      </c>
      <c r="H84" s="5"/>
      <c r="I84" s="5">
        <f>'Series Detail'!U86</f>
        <v>0</v>
      </c>
      <c r="J84" s="5"/>
      <c r="K84" s="5">
        <f t="shared" si="2"/>
        <v>215290125</v>
      </c>
      <c r="L84" s="5"/>
      <c r="M84" s="4"/>
    </row>
    <row r="85" spans="1:13" ht="13.9" x14ac:dyDescent="0.4">
      <c r="A85" s="8">
        <f t="shared" si="3"/>
        <v>57511</v>
      </c>
      <c r="B85" s="8"/>
      <c r="C85" s="5">
        <f>'Series Detail'!R87</f>
        <v>128740000</v>
      </c>
      <c r="D85" s="5"/>
      <c r="E85" s="5">
        <f>'Series Detail'!S87</f>
        <v>3218500</v>
      </c>
      <c r="F85" s="8"/>
      <c r="G85" s="5">
        <f>'Series Detail'!T87</f>
        <v>0</v>
      </c>
      <c r="H85" s="5"/>
      <c r="I85" s="5">
        <f>'Series Detail'!U87</f>
        <v>0</v>
      </c>
      <c r="J85" s="5"/>
      <c r="K85" s="5">
        <f t="shared" si="2"/>
        <v>131958500</v>
      </c>
      <c r="L85" s="5"/>
      <c r="M85" s="5">
        <f>+K84+K85</f>
        <v>347248625</v>
      </c>
    </row>
    <row r="86" spans="1:13" ht="13.9" x14ac:dyDescent="0.4">
      <c r="A86" s="8">
        <f t="shared" si="3"/>
        <v>57694</v>
      </c>
      <c r="B86" s="8"/>
      <c r="C86" s="5">
        <f>'Series Detail'!R88</f>
        <v>0</v>
      </c>
      <c r="D86" s="5"/>
      <c r="E86" s="5">
        <f>'Series Detail'!S88</f>
        <v>0</v>
      </c>
      <c r="F86" s="8"/>
      <c r="G86" s="5">
        <f>'Series Detail'!T88</f>
        <v>0</v>
      </c>
      <c r="H86" s="5"/>
      <c r="I86" s="5">
        <f>'Series Detail'!U88</f>
        <v>0</v>
      </c>
      <c r="J86" s="5"/>
      <c r="K86" s="5">
        <f t="shared" si="2"/>
        <v>0</v>
      </c>
      <c r="L86" s="5"/>
      <c r="M86" s="4"/>
    </row>
    <row r="87" spans="1:13" ht="13.9" x14ac:dyDescent="0.4">
      <c r="A87" s="8">
        <f t="shared" si="3"/>
        <v>57876</v>
      </c>
      <c r="B87" s="8"/>
      <c r="C87" s="5">
        <f>'Series Detail'!R89</f>
        <v>0</v>
      </c>
      <c r="D87" s="5"/>
      <c r="E87" s="5">
        <f>'Series Detail'!S89</f>
        <v>0</v>
      </c>
      <c r="F87" s="8"/>
      <c r="G87" s="5">
        <f>'Series Detail'!T89</f>
        <v>0</v>
      </c>
      <c r="H87" s="5"/>
      <c r="I87" s="5">
        <f>'Series Detail'!U89</f>
        <v>0</v>
      </c>
      <c r="J87" s="5"/>
      <c r="K87" s="5">
        <f t="shared" si="2"/>
        <v>0</v>
      </c>
      <c r="L87" s="5"/>
      <c r="M87" s="5">
        <f>+K86+K87</f>
        <v>0</v>
      </c>
    </row>
    <row r="88" spans="1:13" ht="13.9" x14ac:dyDescent="0.4">
      <c r="A88" s="8">
        <f t="shared" si="3"/>
        <v>58059</v>
      </c>
      <c r="B88" s="8"/>
      <c r="C88" s="5">
        <f>'Series Detail'!R90</f>
        <v>0</v>
      </c>
      <c r="D88" s="5"/>
      <c r="E88" s="5">
        <f>'Series Detail'!S90</f>
        <v>0</v>
      </c>
      <c r="F88" s="8"/>
      <c r="G88" s="5">
        <f>'Series Detail'!T90</f>
        <v>0</v>
      </c>
      <c r="H88" s="5"/>
      <c r="I88" s="5">
        <f>'Series Detail'!U90</f>
        <v>0</v>
      </c>
      <c r="J88" s="5"/>
      <c r="K88" s="5">
        <f t="shared" si="2"/>
        <v>0</v>
      </c>
      <c r="L88" s="5"/>
      <c r="M88" s="4"/>
    </row>
    <row r="89" spans="1:13" ht="13.9" x14ac:dyDescent="0.4">
      <c r="A89" s="8">
        <f t="shared" si="3"/>
        <v>58241</v>
      </c>
      <c r="B89" s="8"/>
      <c r="C89" s="5">
        <f>'Series Detail'!R91</f>
        <v>0</v>
      </c>
      <c r="D89" s="5"/>
      <c r="E89" s="5">
        <f>'Series Detail'!S91</f>
        <v>0</v>
      </c>
      <c r="F89" s="8"/>
      <c r="G89" s="5">
        <f>'Series Detail'!T91</f>
        <v>0</v>
      </c>
      <c r="H89" s="5"/>
      <c r="I89" s="5">
        <f>'Series Detail'!U91</f>
        <v>0</v>
      </c>
      <c r="J89" s="5"/>
      <c r="K89" s="5">
        <f t="shared" si="2"/>
        <v>0</v>
      </c>
      <c r="L89" s="5"/>
      <c r="M89" s="5">
        <f>+K88+K89</f>
        <v>0</v>
      </c>
    </row>
    <row r="90" spans="1:13" ht="13.9" x14ac:dyDescent="0.4">
      <c r="A90" s="8">
        <f t="shared" si="3"/>
        <v>58424</v>
      </c>
      <c r="B90" s="8"/>
      <c r="C90" s="5">
        <f>'Series Detail'!R92</f>
        <v>0</v>
      </c>
      <c r="D90" s="5"/>
      <c r="E90" s="5">
        <f>'Series Detail'!S92</f>
        <v>0</v>
      </c>
      <c r="F90" s="8"/>
      <c r="G90" s="5">
        <f>'Series Detail'!T92</f>
        <v>0</v>
      </c>
      <c r="H90" s="5"/>
      <c r="I90" s="5">
        <f>'Series Detail'!U92</f>
        <v>0</v>
      </c>
      <c r="J90" s="5"/>
      <c r="K90" s="5">
        <f t="shared" si="2"/>
        <v>0</v>
      </c>
      <c r="L90" s="5"/>
      <c r="M90" s="4"/>
    </row>
    <row r="91" spans="1:13" ht="13.9" x14ac:dyDescent="0.4">
      <c r="A91" s="8">
        <f t="shared" si="3"/>
        <v>58607</v>
      </c>
      <c r="B91" s="8"/>
      <c r="C91" s="5">
        <f>'Series Detail'!R93</f>
        <v>0</v>
      </c>
      <c r="D91" s="5"/>
      <c r="E91" s="5">
        <f>'Series Detail'!S93</f>
        <v>0</v>
      </c>
      <c r="F91" s="8"/>
      <c r="G91" s="5">
        <f>'Series Detail'!T93</f>
        <v>0</v>
      </c>
      <c r="H91" s="5"/>
      <c r="I91" s="5">
        <f>'Series Detail'!U93</f>
        <v>0</v>
      </c>
      <c r="J91" s="5"/>
      <c r="K91" s="5">
        <f t="shared" si="2"/>
        <v>0</v>
      </c>
      <c r="L91" s="5"/>
      <c r="M91" s="5">
        <f>+K90+K91</f>
        <v>0</v>
      </c>
    </row>
    <row r="92" spans="1:13" ht="13.9" x14ac:dyDescent="0.4">
      <c r="A92" s="8"/>
      <c r="B92" s="8"/>
      <c r="C92" s="13"/>
      <c r="D92" s="4"/>
      <c r="E92" s="13"/>
      <c r="F92" s="8"/>
      <c r="G92" s="13"/>
      <c r="H92" s="4"/>
      <c r="I92" s="13"/>
      <c r="J92" s="4"/>
      <c r="K92" s="13"/>
      <c r="L92" s="4"/>
      <c r="M92" s="13"/>
    </row>
    <row r="93" spans="1:13" ht="14.25" thickBot="1" x14ac:dyDescent="0.45">
      <c r="A93" s="8" t="s">
        <v>44</v>
      </c>
      <c r="B93" s="8"/>
      <c r="C93" s="49">
        <f>SUM(C10:C92)</f>
        <v>2979133481.1999998</v>
      </c>
      <c r="D93" s="5"/>
      <c r="E93" s="49">
        <f>SUM(E10:E92)</f>
        <v>2755810044.27</v>
      </c>
      <c r="F93" s="8"/>
      <c r="G93" s="49">
        <f>SUM(G10:G92)</f>
        <v>6725681207.9000025</v>
      </c>
      <c r="H93" s="5"/>
      <c r="I93" s="49">
        <f>SUM(I10:I92)</f>
        <v>0</v>
      </c>
      <c r="J93" s="5"/>
      <c r="K93" s="49">
        <f>SUM(K10:K92)</f>
        <v>12460624733.370001</v>
      </c>
      <c r="L93" s="5"/>
      <c r="M93" s="49">
        <f>SUM(M10:M92)</f>
        <v>12460624733.370001</v>
      </c>
    </row>
    <row r="94" spans="1:13" ht="13.15" thickTop="1" x14ac:dyDescent="0.35"/>
    <row r="95" spans="1:13" x14ac:dyDescent="0.35">
      <c r="K95" s="2"/>
    </row>
    <row r="96" spans="1:13" ht="13.9" x14ac:dyDescent="0.4">
      <c r="A96" s="179">
        <f ca="1">'2019A'!A56</f>
        <v>43866.674479745372</v>
      </c>
    </row>
  </sheetData>
  <phoneticPr fontId="0" type="noConversion"/>
  <pageMargins left="0.75" right="0.75" top="0.75" bottom="0.75" header="0.5" footer="0.5"/>
  <pageSetup scale="60" fitToHeight="0" orientation="portrait" r:id="rId1"/>
  <headerFooter alignWithMargins="0"/>
  <rowBreaks count="1" manualBreakCount="1">
    <brk id="79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102"/>
  <sheetViews>
    <sheetView zoomScaleNormal="100" zoomScaleSheetLayoutView="100" workbookViewId="0">
      <pane xSplit="1" ySplit="9" topLeftCell="B10" activePane="bottomRight" state="frozen"/>
      <selection activeCell="M7" sqref="M7"/>
      <selection pane="topRight" activeCell="M7" sqref="M7"/>
      <selection pane="bottomLeft" activeCell="M7" sqref="M7"/>
      <selection pane="bottomRight" activeCell="G20" sqref="G20"/>
    </sheetView>
  </sheetViews>
  <sheetFormatPr defaultColWidth="10.6640625" defaultRowHeight="12.75" x14ac:dyDescent="0.35"/>
  <cols>
    <col min="1" max="1" width="21.33203125" style="3" customWidth="1"/>
    <col min="2" max="2" width="3.6640625" style="3" customWidth="1"/>
    <col min="3" max="3" width="19.83203125" style="1" customWidth="1"/>
    <col min="4" max="4" width="3.6640625" style="1" customWidth="1"/>
    <col min="5" max="5" width="19.83203125" style="1" customWidth="1"/>
    <col min="6" max="6" width="3.6640625" style="1" customWidth="1"/>
    <col min="7" max="7" width="19.83203125" style="1" customWidth="1"/>
    <col min="8" max="8" width="3.6640625" style="1" customWidth="1"/>
    <col min="9" max="9" width="19.83203125" style="1" customWidth="1"/>
    <col min="10" max="10" width="3.6640625" style="1" customWidth="1"/>
    <col min="11" max="11" width="20.83203125" style="1" customWidth="1"/>
    <col min="12" max="12" width="3.6640625" style="1" customWidth="1"/>
    <col min="13" max="13" width="19.83203125" style="1" customWidth="1"/>
    <col min="14" max="21" width="14.83203125" style="1" customWidth="1"/>
    <col min="22" max="16384" width="10.6640625" style="1"/>
  </cols>
  <sheetData>
    <row r="1" spans="1:21" s="195" customFormat="1" ht="17.25" x14ac:dyDescent="0.45">
      <c r="A1" s="193"/>
      <c r="B1" s="193"/>
      <c r="C1" s="53" t="str">
        <f>'Total Debt'!C1</f>
        <v>MPEA 2019A Expansion Project Bond Deal</v>
      </c>
      <c r="D1" s="53"/>
      <c r="E1" s="53"/>
      <c r="F1" s="53"/>
      <c r="G1" s="53"/>
      <c r="H1" s="53"/>
      <c r="I1" s="53"/>
      <c r="J1" s="53"/>
      <c r="K1" s="53"/>
      <c r="L1" s="53"/>
      <c r="M1" s="194"/>
    </row>
    <row r="2" spans="1:21" s="58" customFormat="1" ht="17.25" x14ac:dyDescent="0.45">
      <c r="A2" s="59"/>
      <c r="B2" s="59"/>
      <c r="C2" s="116" t="s">
        <v>48</v>
      </c>
      <c r="D2" s="116"/>
      <c r="E2" s="116"/>
      <c r="F2" s="116"/>
      <c r="G2" s="116"/>
      <c r="H2" s="116"/>
      <c r="I2" s="116"/>
      <c r="J2" s="116"/>
      <c r="K2" s="116"/>
      <c r="L2" s="116"/>
      <c r="M2" s="60"/>
    </row>
    <row r="3" spans="1:21" s="58" customFormat="1" ht="15" x14ac:dyDescent="0.4">
      <c r="A3" s="61"/>
      <c r="B3" s="61"/>
      <c r="C3" s="62" t="str">
        <f>'Total Debt'!C3</f>
        <v>(After Series 2019A Expansion Project Bond Issuance)</v>
      </c>
      <c r="D3" s="62"/>
      <c r="E3" s="62"/>
      <c r="F3" s="62"/>
      <c r="G3" s="62"/>
      <c r="H3" s="62"/>
      <c r="I3" s="62"/>
      <c r="J3" s="62"/>
      <c r="K3" s="62"/>
      <c r="L3" s="62"/>
      <c r="M3" s="63"/>
    </row>
    <row r="4" spans="1:21" ht="15" x14ac:dyDescent="0.4">
      <c r="A4" s="8"/>
      <c r="B4" s="8"/>
      <c r="C4" s="14"/>
      <c r="D4" s="14"/>
      <c r="E4" s="14"/>
      <c r="F4" s="14"/>
      <c r="G4" s="14"/>
      <c r="H4" s="14"/>
      <c r="I4" s="14"/>
      <c r="J4" s="14"/>
      <c r="K4" s="14"/>
      <c r="L4" s="14"/>
      <c r="M4" s="4"/>
    </row>
    <row r="5" spans="1:21" ht="15" x14ac:dyDescent="0.4">
      <c r="A5" s="41" t="s">
        <v>31</v>
      </c>
      <c r="B5" s="41"/>
      <c r="C5" s="8"/>
      <c r="D5" s="8"/>
      <c r="E5" s="42">
        <v>43809</v>
      </c>
      <c r="F5" s="47"/>
      <c r="G5" s="47"/>
      <c r="H5" s="47"/>
      <c r="I5" s="47"/>
      <c r="J5" s="47"/>
      <c r="K5" s="14"/>
      <c r="L5" s="14"/>
      <c r="M5" s="4"/>
    </row>
    <row r="6" spans="1:21" ht="15" x14ac:dyDescent="0.4">
      <c r="A6" s="8"/>
      <c r="B6" s="8"/>
      <c r="C6" s="14"/>
      <c r="D6" s="14"/>
      <c r="E6" s="14"/>
      <c r="F6" s="14"/>
      <c r="G6" s="14"/>
      <c r="H6" s="14"/>
      <c r="I6" s="14"/>
      <c r="J6" s="14"/>
      <c r="K6" s="14"/>
      <c r="L6" s="14"/>
      <c r="M6" s="4"/>
    </row>
    <row r="7" spans="1:21" ht="15" x14ac:dyDescent="0.4">
      <c r="A7" s="33" t="s">
        <v>28</v>
      </c>
      <c r="B7" s="33"/>
      <c r="C7" s="11"/>
      <c r="D7" s="11"/>
      <c r="E7" s="11"/>
      <c r="F7" s="11"/>
      <c r="G7" s="11"/>
      <c r="H7" s="11"/>
      <c r="I7" s="11"/>
      <c r="J7" s="11"/>
      <c r="K7" s="11"/>
      <c r="L7" s="14"/>
      <c r="M7" s="4"/>
    </row>
    <row r="8" spans="1:21" ht="13.5" x14ac:dyDescent="0.35">
      <c r="A8" s="9" t="s">
        <v>29</v>
      </c>
      <c r="B8" s="9"/>
      <c r="C8" s="11" t="s">
        <v>35</v>
      </c>
      <c r="D8" s="11"/>
      <c r="E8" s="10"/>
      <c r="F8" s="11"/>
      <c r="G8" s="11" t="s">
        <v>38</v>
      </c>
      <c r="H8" s="10"/>
      <c r="I8" s="11" t="s">
        <v>40</v>
      </c>
      <c r="J8" s="11"/>
      <c r="K8" s="11"/>
      <c r="L8" s="11"/>
      <c r="M8" s="11" t="s">
        <v>47</v>
      </c>
    </row>
    <row r="9" spans="1:21" ht="13.5" x14ac:dyDescent="0.35">
      <c r="A9" s="12" t="s">
        <v>30</v>
      </c>
      <c r="B9" s="12"/>
      <c r="C9" s="10" t="s">
        <v>36</v>
      </c>
      <c r="D9" s="10"/>
      <c r="E9" s="10" t="s">
        <v>37</v>
      </c>
      <c r="F9" s="10"/>
      <c r="G9" s="10" t="s">
        <v>39</v>
      </c>
      <c r="H9" s="10"/>
      <c r="I9" s="10" t="s">
        <v>39</v>
      </c>
      <c r="J9" s="10"/>
      <c r="K9" s="10" t="s">
        <v>41</v>
      </c>
      <c r="L9" s="10"/>
      <c r="M9" s="10" t="s">
        <v>41</v>
      </c>
    </row>
    <row r="10" spans="1:21" ht="13.9" x14ac:dyDescent="0.4">
      <c r="A10" s="8">
        <v>43814</v>
      </c>
      <c r="B10" s="8"/>
      <c r="C10" s="5">
        <f>'Series Detail'!R12-'Series Detail'!Y12</f>
        <v>1374430.75</v>
      </c>
      <c r="D10" s="5"/>
      <c r="E10" s="5">
        <f>'Series Detail'!S12-'Series Detail'!AA12</f>
        <v>58930863.75</v>
      </c>
      <c r="F10" s="5"/>
      <c r="G10" s="5">
        <f>'Series Detail'!T12-'Series Detail'!AB12</f>
        <v>2395569.25</v>
      </c>
      <c r="H10" s="5"/>
      <c r="I10" s="5">
        <f>'Series Detail'!U12-'Series Detail'!AC12</f>
        <v>0</v>
      </c>
      <c r="J10" s="5"/>
      <c r="K10" s="5">
        <f>SUM(C10:J10)</f>
        <v>62700863.75</v>
      </c>
      <c r="L10" s="5"/>
      <c r="M10" s="4"/>
      <c r="N10" s="2"/>
      <c r="O10" s="2"/>
      <c r="P10" s="2"/>
      <c r="Q10" s="2"/>
      <c r="R10" s="2"/>
      <c r="S10" s="2"/>
      <c r="T10" s="2"/>
      <c r="U10" s="2"/>
    </row>
    <row r="11" spans="1:21" ht="13.9" x14ac:dyDescent="0.4">
      <c r="A11" s="8">
        <v>43997</v>
      </c>
      <c r="B11" s="8"/>
      <c r="C11" s="5">
        <f>'Series Detail'!R13-'Series Detail'!Y13</f>
        <v>13920132.449999999</v>
      </c>
      <c r="D11" s="5"/>
      <c r="E11" s="5">
        <f>'Series Detail'!S13-'Series Detail'!AA13</f>
        <v>58918751.249999993</v>
      </c>
      <c r="F11" s="5"/>
      <c r="G11" s="5">
        <f>'Series Detail'!T13-'Series Detail'!AB13</f>
        <v>54574867.549999997</v>
      </c>
      <c r="H11" s="5"/>
      <c r="I11" s="5">
        <f>'Series Detail'!U13-'Series Detail'!AC13</f>
        <v>0</v>
      </c>
      <c r="J11" s="5"/>
      <c r="K11" s="5">
        <f t="shared" ref="K11:K74" si="0">SUM(C11:J11)</f>
        <v>127413751.24999999</v>
      </c>
      <c r="L11" s="5"/>
      <c r="M11" s="5">
        <f>+K10+K11</f>
        <v>190114615</v>
      </c>
      <c r="N11" s="2"/>
      <c r="O11" s="2"/>
      <c r="P11" s="2"/>
      <c r="Q11" s="2"/>
      <c r="R11" s="2"/>
      <c r="S11" s="2"/>
      <c r="T11" s="2"/>
      <c r="U11" s="2"/>
    </row>
    <row r="12" spans="1:21" ht="13.9" x14ac:dyDescent="0.4">
      <c r="A12" s="8">
        <v>44180</v>
      </c>
      <c r="B12" s="8"/>
      <c r="C12" s="5">
        <f>'Series Detail'!R14-'Series Detail'!Y14</f>
        <v>57141968.599999994</v>
      </c>
      <c r="D12" s="5"/>
      <c r="E12" s="5">
        <f>'Series Detail'!S14-'Series Detail'!AA14</f>
        <v>58832401.25</v>
      </c>
      <c r="F12" s="5"/>
      <c r="G12" s="5">
        <f>'Series Detail'!T14-'Series Detail'!AB14</f>
        <v>12833031.4</v>
      </c>
      <c r="H12" s="5"/>
      <c r="I12" s="5">
        <f>'Series Detail'!U14-'Series Detail'!AC14</f>
        <v>0</v>
      </c>
      <c r="J12" s="5"/>
      <c r="K12" s="5">
        <f t="shared" si="0"/>
        <v>128807401.25</v>
      </c>
      <c r="L12" s="5"/>
      <c r="M12" s="4"/>
      <c r="N12" s="2"/>
      <c r="O12" s="2"/>
      <c r="P12" s="2"/>
      <c r="Q12" s="2"/>
      <c r="R12" s="2"/>
      <c r="S12" s="2"/>
      <c r="T12" s="2"/>
      <c r="U12" s="2"/>
    </row>
    <row r="13" spans="1:21" ht="13.9" x14ac:dyDescent="0.4">
      <c r="A13" s="8">
        <v>44362</v>
      </c>
      <c r="B13" s="8"/>
      <c r="C13" s="5">
        <f>'Series Detail'!R15-'Series Detail'!Y15</f>
        <v>8883792.4000000004</v>
      </c>
      <c r="D13" s="5"/>
      <c r="E13" s="5">
        <f>'Series Detail'!S15-'Series Detail'!AA15</f>
        <v>57495101.25</v>
      </c>
      <c r="F13" s="5"/>
      <c r="G13" s="5">
        <f>'Series Detail'!T15-'Series Detail'!AB15</f>
        <v>38106207.600000001</v>
      </c>
      <c r="H13" s="5"/>
      <c r="I13" s="5">
        <f>'Series Detail'!U15-'Series Detail'!AC15</f>
        <v>0</v>
      </c>
      <c r="J13" s="5"/>
      <c r="K13" s="5">
        <f t="shared" si="0"/>
        <v>104485101.25</v>
      </c>
      <c r="L13" s="5"/>
      <c r="M13" s="5">
        <f>+K12+K13</f>
        <v>233292502.5</v>
      </c>
      <c r="N13" s="2"/>
      <c r="O13" s="2"/>
      <c r="P13" s="2"/>
      <c r="Q13" s="2"/>
      <c r="R13" s="2"/>
      <c r="S13" s="2"/>
      <c r="T13" s="2"/>
      <c r="U13" s="2"/>
    </row>
    <row r="14" spans="1:21" ht="13.9" x14ac:dyDescent="0.4">
      <c r="A14" s="8">
        <v>44545</v>
      </c>
      <c r="B14" s="8"/>
      <c r="C14" s="5">
        <f>'Series Detail'!R16-'Series Detail'!Y16</f>
        <v>12837848</v>
      </c>
      <c r="D14" s="5"/>
      <c r="E14" s="5">
        <f>'Series Detail'!S16-'Series Detail'!AA16</f>
        <v>57444088.75</v>
      </c>
      <c r="F14" s="5"/>
      <c r="G14" s="5">
        <f>'Series Detail'!T16-'Series Detail'!AB16</f>
        <v>39427152</v>
      </c>
      <c r="H14" s="5"/>
      <c r="I14" s="5">
        <f>'Series Detail'!U16-'Series Detail'!AC16</f>
        <v>0</v>
      </c>
      <c r="J14" s="5"/>
      <c r="K14" s="5">
        <f t="shared" si="0"/>
        <v>109709088.75</v>
      </c>
      <c r="L14" s="5"/>
      <c r="M14" s="4"/>
      <c r="N14" s="2"/>
      <c r="O14" s="2"/>
      <c r="P14" s="2"/>
      <c r="Q14" s="2"/>
      <c r="R14" s="2"/>
      <c r="S14" s="2"/>
      <c r="T14" s="2"/>
      <c r="U14" s="2"/>
    </row>
    <row r="15" spans="1:21" ht="13.9" x14ac:dyDescent="0.4">
      <c r="A15" s="8">
        <v>44727</v>
      </c>
      <c r="B15" s="8"/>
      <c r="C15" s="5">
        <f>'Series Detail'!R17-'Series Detail'!Y17</f>
        <v>34882148.700000003</v>
      </c>
      <c r="D15" s="5"/>
      <c r="E15" s="5">
        <f>'Series Detail'!S17-'Series Detail'!AA17</f>
        <v>57390288.75</v>
      </c>
      <c r="F15" s="5"/>
      <c r="G15" s="5">
        <f>'Series Detail'!T17-'Series Detail'!AB17</f>
        <v>56642851.299999997</v>
      </c>
      <c r="H15" s="5"/>
      <c r="I15" s="5">
        <f>'Series Detail'!U17-'Series Detail'!AC17</f>
        <v>0</v>
      </c>
      <c r="J15" s="5"/>
      <c r="K15" s="5">
        <f t="shared" si="0"/>
        <v>148915288.75</v>
      </c>
      <c r="L15" s="5"/>
      <c r="M15" s="5">
        <f>+K14+K15</f>
        <v>258624377.5</v>
      </c>
      <c r="N15" s="2"/>
      <c r="O15" s="2"/>
      <c r="P15" s="2"/>
      <c r="Q15" s="2"/>
      <c r="R15" s="2"/>
      <c r="S15" s="2"/>
      <c r="T15" s="2"/>
      <c r="U15" s="2"/>
    </row>
    <row r="16" spans="1:21" ht="13.9" x14ac:dyDescent="0.4">
      <c r="A16" s="8">
        <v>44910</v>
      </c>
      <c r="B16" s="8"/>
      <c r="C16" s="5">
        <f>'Series Detail'!R18-'Series Detail'!Y18</f>
        <v>49201020</v>
      </c>
      <c r="D16" s="5"/>
      <c r="E16" s="5">
        <f>'Series Detail'!S18-'Series Detail'!AA18</f>
        <v>55521605</v>
      </c>
      <c r="F16" s="5"/>
      <c r="G16" s="5">
        <f>'Series Detail'!T18-'Series Detail'!AB18</f>
        <v>40068980</v>
      </c>
      <c r="H16" s="5"/>
      <c r="I16" s="5">
        <f>'Series Detail'!U18-'Series Detail'!AC18</f>
        <v>0</v>
      </c>
      <c r="J16" s="5"/>
      <c r="K16" s="5">
        <f t="shared" si="0"/>
        <v>144791605</v>
      </c>
      <c r="L16" s="5"/>
      <c r="M16" s="4"/>
      <c r="N16" s="2"/>
      <c r="O16" s="2"/>
      <c r="P16" s="2"/>
      <c r="Q16" s="2"/>
      <c r="R16" s="2"/>
      <c r="S16" s="2"/>
      <c r="T16" s="2"/>
      <c r="U16" s="2"/>
    </row>
    <row r="17" spans="1:21" ht="13.9" x14ac:dyDescent="0.4">
      <c r="A17" s="8">
        <v>45092</v>
      </c>
      <c r="B17" s="8"/>
      <c r="C17" s="5">
        <f>'Series Detail'!R19-'Series Detail'!Y19</f>
        <v>28232993.100000001</v>
      </c>
      <c r="D17" s="5"/>
      <c r="E17" s="5">
        <f>'Series Detail'!S19-'Series Detail'!AA19</f>
        <v>54542430</v>
      </c>
      <c r="F17" s="5"/>
      <c r="G17" s="5">
        <f>'Series Detail'!T19-'Series Detail'!AB19</f>
        <v>21677006.900000002</v>
      </c>
      <c r="H17" s="5"/>
      <c r="I17" s="5">
        <f>'Series Detail'!U19-'Series Detail'!AC19</f>
        <v>0</v>
      </c>
      <c r="J17" s="5"/>
      <c r="K17" s="5">
        <f t="shared" si="0"/>
        <v>104452430</v>
      </c>
      <c r="L17" s="5"/>
      <c r="M17" s="5">
        <f>+K16+K17</f>
        <v>249244035</v>
      </c>
      <c r="N17" s="2"/>
      <c r="O17" s="2"/>
      <c r="P17" s="2"/>
      <c r="Q17" s="2"/>
      <c r="R17" s="2"/>
      <c r="S17" s="2"/>
      <c r="T17" s="2"/>
      <c r="U17" s="2"/>
    </row>
    <row r="18" spans="1:21" ht="13.9" x14ac:dyDescent="0.4">
      <c r="A18" s="8">
        <v>45275</v>
      </c>
      <c r="B18" s="8"/>
      <c r="C18" s="5">
        <f>'Series Detail'!R20-'Series Detail'!Y20</f>
        <v>19319366.600000001</v>
      </c>
      <c r="D18" s="5"/>
      <c r="E18" s="5">
        <f>'Series Detail'!S20-'Series Detail'!AA20</f>
        <v>53777900</v>
      </c>
      <c r="F18" s="5"/>
      <c r="G18" s="5">
        <f>'Series Detail'!T20-'Series Detail'!AB20</f>
        <v>97320633.400000006</v>
      </c>
      <c r="H18" s="5"/>
      <c r="I18" s="5">
        <f>'Series Detail'!U20-'Series Detail'!AC20</f>
        <v>0</v>
      </c>
      <c r="J18" s="5"/>
      <c r="K18" s="5">
        <f t="shared" si="0"/>
        <v>170417900</v>
      </c>
      <c r="L18" s="5"/>
      <c r="M18" s="4"/>
      <c r="N18" s="2"/>
      <c r="O18" s="2"/>
      <c r="P18" s="2"/>
      <c r="Q18" s="2"/>
      <c r="R18" s="2"/>
      <c r="S18" s="2"/>
      <c r="T18" s="2"/>
      <c r="U18" s="2"/>
    </row>
    <row r="19" spans="1:21" ht="13.9" x14ac:dyDescent="0.4">
      <c r="A19" s="8">
        <v>45458</v>
      </c>
      <c r="B19" s="8"/>
      <c r="C19" s="5">
        <f>'Series Detail'!R21-'Series Detail'!Y21</f>
        <v>20632146.500000004</v>
      </c>
      <c r="D19" s="5"/>
      <c r="E19" s="5">
        <f>'Series Detail'!S21-'Series Detail'!AA21</f>
        <v>53648787.5</v>
      </c>
      <c r="F19" s="5"/>
      <c r="G19" s="5">
        <f>'Series Detail'!T21-'Series Detail'!AB21</f>
        <v>30177853.5</v>
      </c>
      <c r="H19" s="5"/>
      <c r="I19" s="5">
        <f>'Series Detail'!U21-'Series Detail'!AC21</f>
        <v>0</v>
      </c>
      <c r="J19" s="5"/>
      <c r="K19" s="5">
        <f t="shared" si="0"/>
        <v>104458787.5</v>
      </c>
      <c r="L19" s="5"/>
      <c r="M19" s="5">
        <f>+K18+K19</f>
        <v>274876687.5</v>
      </c>
      <c r="N19" s="2"/>
      <c r="O19" s="2"/>
      <c r="P19" s="2"/>
      <c r="Q19" s="2"/>
      <c r="R19" s="2"/>
      <c r="S19" s="2"/>
      <c r="T19" s="2"/>
      <c r="U19" s="2"/>
    </row>
    <row r="20" spans="1:21" ht="13.9" x14ac:dyDescent="0.4">
      <c r="A20" s="8">
        <v>45641</v>
      </c>
      <c r="B20" s="8"/>
      <c r="C20" s="5">
        <f>'Series Detail'!R22-'Series Detail'!Y22</f>
        <v>17916601.25</v>
      </c>
      <c r="D20" s="5"/>
      <c r="E20" s="5">
        <f>'Series Detail'!S22-'Series Detail'!AA22</f>
        <v>52803082.5</v>
      </c>
      <c r="F20" s="5"/>
      <c r="G20" s="5">
        <f>'Series Detail'!T22-'Series Detail'!AB22</f>
        <v>92468398.75</v>
      </c>
      <c r="H20" s="5"/>
      <c r="I20" s="5">
        <f>'Series Detail'!U22-'Series Detail'!AC22</f>
        <v>0</v>
      </c>
      <c r="J20" s="5"/>
      <c r="K20" s="5">
        <f t="shared" si="0"/>
        <v>163188082.5</v>
      </c>
      <c r="L20" s="5"/>
      <c r="M20" s="4"/>
      <c r="N20" s="2"/>
      <c r="O20" s="2"/>
      <c r="P20" s="2"/>
      <c r="Q20" s="2"/>
      <c r="R20" s="2"/>
      <c r="S20" s="2"/>
      <c r="T20" s="2"/>
      <c r="U20" s="2"/>
    </row>
    <row r="21" spans="1:21" ht="13.9" x14ac:dyDescent="0.4">
      <c r="A21" s="8">
        <v>45823</v>
      </c>
      <c r="B21" s="8"/>
      <c r="C21" s="5">
        <f>'Series Detail'!R23-'Series Detail'!Y23</f>
        <v>24303549.200000003</v>
      </c>
      <c r="D21" s="5"/>
      <c r="E21" s="5">
        <f>'Series Detail'!S23-'Series Detail'!AA23</f>
        <v>52666682.5</v>
      </c>
      <c r="F21" s="5"/>
      <c r="G21" s="5">
        <f>'Series Detail'!T23-'Series Detail'!AB23</f>
        <v>34711450.800000004</v>
      </c>
      <c r="H21" s="5"/>
      <c r="I21" s="5">
        <f>'Series Detail'!U23-'Series Detail'!AC23</f>
        <v>0</v>
      </c>
      <c r="J21" s="5"/>
      <c r="K21" s="5">
        <f t="shared" si="0"/>
        <v>111681682.5</v>
      </c>
      <c r="L21" s="5"/>
      <c r="M21" s="5">
        <f>+K20+K21</f>
        <v>274869765</v>
      </c>
      <c r="N21" s="2"/>
      <c r="O21" s="2"/>
      <c r="P21" s="2"/>
      <c r="Q21" s="2"/>
      <c r="R21" s="2"/>
      <c r="S21" s="2"/>
      <c r="T21" s="2"/>
      <c r="U21" s="2"/>
    </row>
    <row r="22" spans="1:21" ht="13.9" x14ac:dyDescent="0.4">
      <c r="A22" s="8">
        <v>46006</v>
      </c>
      <c r="B22" s="8"/>
      <c r="C22" s="5">
        <f>'Series Detail'!R24-'Series Detail'!Y24</f>
        <v>15031644</v>
      </c>
      <c r="D22" s="5"/>
      <c r="E22" s="5">
        <f>'Series Detail'!S24-'Series Detail'!AA24</f>
        <v>51572700</v>
      </c>
      <c r="F22" s="5"/>
      <c r="G22" s="5">
        <f>'Series Detail'!T24-'Series Detail'!AB24</f>
        <v>60213356</v>
      </c>
      <c r="H22" s="5"/>
      <c r="I22" s="5">
        <f>'Series Detail'!U24-'Series Detail'!AC24</f>
        <v>0</v>
      </c>
      <c r="J22" s="5"/>
      <c r="K22" s="5">
        <f t="shared" si="0"/>
        <v>126817700</v>
      </c>
      <c r="L22" s="5"/>
      <c r="M22" s="4"/>
      <c r="N22" s="2"/>
      <c r="O22" s="2"/>
      <c r="P22" s="2"/>
      <c r="Q22" s="2"/>
      <c r="R22" s="2"/>
      <c r="S22" s="2"/>
      <c r="T22" s="2"/>
      <c r="U22" s="2"/>
    </row>
    <row r="23" spans="1:21" ht="13.9" x14ac:dyDescent="0.4">
      <c r="A23" s="8">
        <v>46188</v>
      </c>
      <c r="B23" s="8"/>
      <c r="C23" s="5">
        <f>'Series Detail'!R25-'Series Detail'!Y25</f>
        <v>46047485.400000006</v>
      </c>
      <c r="D23" s="5"/>
      <c r="E23" s="5">
        <f>'Series Detail'!S25-'Series Detail'!AA25</f>
        <v>51288487.5</v>
      </c>
      <c r="F23" s="5"/>
      <c r="G23" s="5">
        <f>'Series Detail'!T25-'Series Detail'!AB25</f>
        <v>51852514.599999994</v>
      </c>
      <c r="H23" s="5"/>
      <c r="I23" s="5">
        <f>'Series Detail'!U25-'Series Detail'!AC25</f>
        <v>0</v>
      </c>
      <c r="J23" s="5"/>
      <c r="K23" s="5">
        <f t="shared" si="0"/>
        <v>149188487.5</v>
      </c>
      <c r="L23" s="5"/>
      <c r="M23" s="5">
        <f>+K22+K23</f>
        <v>276006187.5</v>
      </c>
      <c r="N23" s="2"/>
      <c r="O23" s="2"/>
      <c r="P23" s="2"/>
      <c r="Q23" s="2"/>
      <c r="R23" s="2"/>
      <c r="S23" s="2"/>
      <c r="T23" s="2"/>
      <c r="U23" s="2"/>
    </row>
    <row r="24" spans="1:21" ht="13.9" x14ac:dyDescent="0.4">
      <c r="A24" s="8">
        <v>46371</v>
      </c>
      <c r="B24" s="8"/>
      <c r="C24" s="5">
        <f>'Series Detail'!R26-'Series Detail'!Y26</f>
        <v>71834290.400000006</v>
      </c>
      <c r="D24" s="5"/>
      <c r="E24" s="5">
        <f>'Series Detail'!S26-'Series Detail'!AA26</f>
        <v>50079000</v>
      </c>
      <c r="F24" s="5"/>
      <c r="G24" s="5">
        <f>'Series Detail'!T26-'Series Detail'!AB26</f>
        <v>39230709.600000001</v>
      </c>
      <c r="H24" s="5"/>
      <c r="I24" s="5">
        <f>'Series Detail'!U26-'Series Detail'!AC26</f>
        <v>0</v>
      </c>
      <c r="J24" s="5"/>
      <c r="K24" s="5">
        <f t="shared" si="0"/>
        <v>161144000</v>
      </c>
      <c r="L24" s="5"/>
      <c r="M24" s="4"/>
      <c r="N24" s="2"/>
      <c r="O24" s="2"/>
      <c r="P24" s="2"/>
      <c r="Q24" s="2"/>
      <c r="R24" s="2"/>
      <c r="S24" s="2"/>
      <c r="T24" s="2"/>
      <c r="U24" s="2"/>
    </row>
    <row r="25" spans="1:21" ht="13.9" x14ac:dyDescent="0.4">
      <c r="A25" s="8">
        <v>46553</v>
      </c>
      <c r="B25" s="8"/>
      <c r="C25" s="5">
        <f>'Series Detail'!R27-'Series Detail'!Y27</f>
        <v>36434934.099999994</v>
      </c>
      <c r="D25" s="5"/>
      <c r="E25" s="5">
        <f>'Series Detail'!S27-'Series Detail'!AA27</f>
        <v>48329550</v>
      </c>
      <c r="F25" s="5"/>
      <c r="G25" s="5">
        <f>'Series Detail'!T27-'Series Detail'!AB27</f>
        <v>43330065.899999999</v>
      </c>
      <c r="H25" s="5"/>
      <c r="I25" s="5">
        <f>'Series Detail'!U27-'Series Detail'!AC27</f>
        <v>0</v>
      </c>
      <c r="J25" s="5"/>
      <c r="K25" s="5">
        <f t="shared" si="0"/>
        <v>128094550</v>
      </c>
      <c r="L25" s="5"/>
      <c r="M25" s="5">
        <f>+K24+K25</f>
        <v>289238550</v>
      </c>
      <c r="N25" s="2"/>
      <c r="O25" s="2"/>
      <c r="P25" s="2"/>
      <c r="Q25" s="2"/>
      <c r="R25" s="2"/>
      <c r="S25" s="2"/>
      <c r="T25" s="2"/>
      <c r="U25" s="2"/>
    </row>
    <row r="26" spans="1:21" ht="13.9" x14ac:dyDescent="0.4">
      <c r="A26" s="8">
        <v>46736</v>
      </c>
      <c r="B26" s="8"/>
      <c r="C26" s="5">
        <f>'Series Detail'!R28-'Series Detail'!Y28</f>
        <v>112070000</v>
      </c>
      <c r="D26" s="5"/>
      <c r="E26" s="5">
        <f>'Series Detail'!S28-'Series Detail'!AA28</f>
        <v>47978512.5</v>
      </c>
      <c r="F26" s="5"/>
      <c r="G26" s="5">
        <f>'Series Detail'!T28-'Series Detail'!AB28</f>
        <v>0</v>
      </c>
      <c r="H26" s="5"/>
      <c r="I26" s="5">
        <f>'Series Detail'!U28-'Series Detail'!AC28</f>
        <v>0</v>
      </c>
      <c r="J26" s="5"/>
      <c r="K26" s="5">
        <f t="shared" si="0"/>
        <v>160048512.5</v>
      </c>
      <c r="L26" s="5"/>
      <c r="M26" s="4"/>
      <c r="N26" s="2"/>
      <c r="O26" s="2"/>
      <c r="P26" s="2"/>
      <c r="Q26" s="2"/>
      <c r="R26" s="2"/>
      <c r="S26" s="2"/>
      <c r="T26" s="2"/>
      <c r="U26" s="2"/>
    </row>
    <row r="27" spans="1:21" ht="13.9" x14ac:dyDescent="0.4">
      <c r="A27" s="8">
        <v>46919</v>
      </c>
      <c r="B27" s="8"/>
      <c r="C27" s="5">
        <f>'Series Detail'!R29-'Series Detail'!Y29</f>
        <v>15902687.300000001</v>
      </c>
      <c r="D27" s="5"/>
      <c r="E27" s="5">
        <f>'Series Detail'!S29-'Series Detail'!AA29</f>
        <v>45162175</v>
      </c>
      <c r="F27" s="5"/>
      <c r="G27" s="5">
        <f>'Series Detail'!T29-'Series Detail'!AB29</f>
        <v>83087312.700000003</v>
      </c>
      <c r="H27" s="5"/>
      <c r="I27" s="5">
        <f>'Series Detail'!U29-'Series Detail'!AC29</f>
        <v>0</v>
      </c>
      <c r="J27" s="5"/>
      <c r="K27" s="5">
        <f t="shared" si="0"/>
        <v>144152175</v>
      </c>
      <c r="L27" s="5"/>
      <c r="M27" s="5">
        <f>+K26+K27</f>
        <v>304200687.5</v>
      </c>
      <c r="N27" s="2"/>
      <c r="O27" s="2"/>
      <c r="P27" s="2"/>
      <c r="Q27" s="2"/>
      <c r="R27" s="2"/>
      <c r="S27" s="2"/>
      <c r="T27" s="2"/>
      <c r="U27" s="2"/>
    </row>
    <row r="28" spans="1:21" ht="13.9" x14ac:dyDescent="0.4">
      <c r="A28" s="8">
        <v>47102</v>
      </c>
      <c r="B28" s="8"/>
      <c r="C28" s="5">
        <f>'Series Detail'!R30-'Series Detail'!Y30</f>
        <v>133379999.99999999</v>
      </c>
      <c r="D28" s="5"/>
      <c r="E28" s="5">
        <f>'Series Detail'!S30-'Series Detail'!AA30</f>
        <v>44997312.5</v>
      </c>
      <c r="F28" s="5"/>
      <c r="G28" s="5">
        <f>'Series Detail'!T30-'Series Detail'!AB30</f>
        <v>0</v>
      </c>
      <c r="H28" s="5"/>
      <c r="I28" s="5">
        <f>'Series Detail'!U30-'Series Detail'!AC30</f>
        <v>0</v>
      </c>
      <c r="J28" s="5"/>
      <c r="K28" s="5">
        <f t="shared" si="0"/>
        <v>178377312.5</v>
      </c>
      <c r="L28" s="5"/>
      <c r="M28" s="4"/>
      <c r="N28" s="2"/>
      <c r="O28" s="2"/>
      <c r="P28" s="2"/>
      <c r="Q28" s="2"/>
      <c r="R28" s="2"/>
      <c r="S28" s="2"/>
      <c r="T28" s="2"/>
      <c r="U28" s="2"/>
    </row>
    <row r="29" spans="1:21" ht="13.9" x14ac:dyDescent="0.4">
      <c r="A29" s="8">
        <v>47284</v>
      </c>
      <c r="B29" s="8"/>
      <c r="C29" s="5">
        <f>'Series Detail'!R31-'Series Detail'!Y31</f>
        <v>15495321.300000001</v>
      </c>
      <c r="D29" s="5"/>
      <c r="E29" s="5">
        <f>'Series Detail'!S31-'Series Detail'!AA31</f>
        <v>41647412.5</v>
      </c>
      <c r="F29" s="5"/>
      <c r="G29" s="5">
        <f>'Series Detail'!T31-'Series Detail'!AB31</f>
        <v>83719678.700000003</v>
      </c>
      <c r="H29" s="5"/>
      <c r="I29" s="5">
        <f>'Series Detail'!U31-'Series Detail'!AC31</f>
        <v>0</v>
      </c>
      <c r="J29" s="5"/>
      <c r="K29" s="5">
        <f t="shared" si="0"/>
        <v>140862412.5</v>
      </c>
      <c r="L29" s="5"/>
      <c r="M29" s="5">
        <f>+K28+K29</f>
        <v>319239725</v>
      </c>
      <c r="N29" s="2"/>
      <c r="O29" s="2"/>
      <c r="P29" s="2"/>
      <c r="Q29" s="2"/>
      <c r="R29" s="2"/>
      <c r="S29" s="2"/>
      <c r="T29" s="2"/>
      <c r="U29" s="2"/>
    </row>
    <row r="30" spans="1:21" ht="13.9" x14ac:dyDescent="0.4">
      <c r="A30" s="8">
        <v>47467</v>
      </c>
      <c r="B30" s="8"/>
      <c r="C30" s="5">
        <f>'Series Detail'!R32-'Series Detail'!Y32</f>
        <v>6595539.0499999998</v>
      </c>
      <c r="D30" s="5"/>
      <c r="E30" s="5">
        <f>'Series Detail'!S32-'Series Detail'!AA32</f>
        <v>41476362.5</v>
      </c>
      <c r="F30" s="5"/>
      <c r="G30" s="5">
        <f>'Series Detail'!T32-'Series Detail'!AB32</f>
        <v>155099460.94999999</v>
      </c>
      <c r="H30" s="5"/>
      <c r="I30" s="5">
        <f>'Series Detail'!U32-'Series Detail'!AC32</f>
        <v>0</v>
      </c>
      <c r="J30" s="5"/>
      <c r="K30" s="5">
        <f t="shared" si="0"/>
        <v>203171362.5</v>
      </c>
      <c r="L30" s="5"/>
      <c r="M30" s="4"/>
      <c r="N30" s="2"/>
      <c r="O30" s="2"/>
      <c r="P30" s="2"/>
      <c r="Q30" s="2"/>
      <c r="R30" s="2"/>
      <c r="S30" s="2"/>
      <c r="T30" s="2"/>
      <c r="U30" s="2"/>
    </row>
    <row r="31" spans="1:21" ht="13.9" x14ac:dyDescent="0.4">
      <c r="A31" s="8">
        <v>47649</v>
      </c>
      <c r="B31" s="8"/>
      <c r="C31" s="5">
        <f>'Series Detail'!R33-'Series Detail'!Y33</f>
        <v>3486095.6000000006</v>
      </c>
      <c r="D31" s="5"/>
      <c r="E31" s="5">
        <f>'Series Detail'!S33-'Series Detail'!AA33</f>
        <v>41476362.5</v>
      </c>
      <c r="F31" s="5"/>
      <c r="G31" s="5">
        <f>'Series Detail'!T33-'Series Detail'!AB33</f>
        <v>87108904.400000006</v>
      </c>
      <c r="H31" s="5"/>
      <c r="I31" s="5">
        <f>'Series Detail'!U33-'Series Detail'!AC33</f>
        <v>0</v>
      </c>
      <c r="J31" s="5"/>
      <c r="K31" s="5">
        <f t="shared" si="0"/>
        <v>132071362.5</v>
      </c>
      <c r="L31" s="5"/>
      <c r="M31" s="5">
        <f>+K30+K31</f>
        <v>335242725</v>
      </c>
      <c r="N31" s="2"/>
      <c r="O31" s="2"/>
      <c r="P31" s="2"/>
      <c r="Q31" s="2"/>
      <c r="R31" s="2"/>
      <c r="S31" s="2"/>
      <c r="T31" s="2"/>
      <c r="U31" s="2"/>
    </row>
    <row r="32" spans="1:21" ht="13.9" x14ac:dyDescent="0.4">
      <c r="A32" s="8">
        <v>47832</v>
      </c>
      <c r="B32" s="8"/>
      <c r="C32" s="5">
        <f>'Series Detail'!R34-'Series Detail'!Y34</f>
        <v>12504528.5</v>
      </c>
      <c r="D32" s="5"/>
      <c r="E32" s="5">
        <f>'Series Detail'!S34-'Series Detail'!AA34</f>
        <v>41476362.5</v>
      </c>
      <c r="F32" s="5"/>
      <c r="G32" s="5">
        <f>'Series Detail'!T34-'Series Detail'!AB34</f>
        <v>155825471.5</v>
      </c>
      <c r="H32" s="5"/>
      <c r="I32" s="5">
        <f>'Series Detail'!U34-'Series Detail'!AC34</f>
        <v>0</v>
      </c>
      <c r="J32" s="5"/>
      <c r="K32" s="5">
        <f t="shared" si="0"/>
        <v>209806362.5</v>
      </c>
      <c r="L32" s="5"/>
      <c r="M32" s="4"/>
      <c r="N32" s="2"/>
      <c r="O32" s="2"/>
      <c r="P32" s="2"/>
      <c r="Q32" s="2"/>
      <c r="R32" s="2"/>
      <c r="S32" s="2"/>
      <c r="T32" s="2"/>
      <c r="U32" s="2"/>
    </row>
    <row r="33" spans="1:21" ht="13.9" x14ac:dyDescent="0.4">
      <c r="A33" s="8">
        <v>48014</v>
      </c>
      <c r="B33" s="8"/>
      <c r="C33" s="5">
        <f>'Series Detail'!R35-'Series Detail'!Y35</f>
        <v>3716425.5999999996</v>
      </c>
      <c r="D33" s="5"/>
      <c r="E33" s="5">
        <f>'Series Detail'!S35-'Series Detail'!AA35</f>
        <v>41310487.5</v>
      </c>
      <c r="F33" s="5"/>
      <c r="G33" s="5">
        <f>'Series Detail'!T35-'Series Detail'!AB35</f>
        <v>92413574.400000006</v>
      </c>
      <c r="H33" s="5"/>
      <c r="I33" s="5">
        <f>'Series Detail'!U35-'Series Detail'!AC35</f>
        <v>0</v>
      </c>
      <c r="J33" s="5"/>
      <c r="K33" s="5">
        <f t="shared" si="0"/>
        <v>137440487.5</v>
      </c>
      <c r="L33" s="5"/>
      <c r="M33" s="5">
        <f>+K32+K33</f>
        <v>347246850</v>
      </c>
      <c r="N33" s="2"/>
      <c r="O33" s="2"/>
      <c r="P33" s="2"/>
      <c r="Q33" s="2"/>
      <c r="R33" s="2"/>
      <c r="S33" s="2"/>
      <c r="T33" s="2"/>
      <c r="U33" s="2"/>
    </row>
    <row r="34" spans="1:21" ht="13.9" x14ac:dyDescent="0.4">
      <c r="A34" s="8">
        <v>48197</v>
      </c>
      <c r="B34" s="8"/>
      <c r="C34" s="5">
        <f>'Series Detail'!R36-'Series Detail'!Y36</f>
        <v>9249365.4500000011</v>
      </c>
      <c r="D34" s="5"/>
      <c r="E34" s="5">
        <f>'Series Detail'!S36-'Series Detail'!AA36</f>
        <v>42720238.75</v>
      </c>
      <c r="F34" s="5"/>
      <c r="G34" s="5">
        <f>'Series Detail'!T36-'Series Detail'!AB36</f>
        <v>156470634.55000001</v>
      </c>
      <c r="H34" s="5"/>
      <c r="I34" s="5">
        <f>'Series Detail'!U36-'Series Detail'!AC36</f>
        <v>0</v>
      </c>
      <c r="J34" s="5"/>
      <c r="K34" s="5">
        <f t="shared" si="0"/>
        <v>208440238.75</v>
      </c>
      <c r="L34" s="5"/>
      <c r="M34" s="4"/>
      <c r="N34" s="2"/>
      <c r="O34" s="2"/>
      <c r="P34" s="2"/>
      <c r="Q34" s="2"/>
      <c r="R34" s="2"/>
      <c r="S34" s="2"/>
      <c r="T34" s="2"/>
      <c r="U34" s="2"/>
    </row>
    <row r="35" spans="1:21" ht="13.9" x14ac:dyDescent="0.4">
      <c r="A35" s="8">
        <v>48380</v>
      </c>
      <c r="B35" s="8"/>
      <c r="C35" s="5">
        <f>'Series Detail'!R37-'Series Detail'!Y37</f>
        <v>3401631.2</v>
      </c>
      <c r="D35" s="5"/>
      <c r="E35" s="5">
        <f>'Series Detail'!S37-'Series Detail'!AA37</f>
        <v>42619613.75</v>
      </c>
      <c r="F35" s="5"/>
      <c r="G35" s="5">
        <f>'Series Detail'!T37-'Series Detail'!AB37</f>
        <v>92773368.799999997</v>
      </c>
      <c r="H35" s="5"/>
      <c r="I35" s="5">
        <f>'Series Detail'!U37-'Series Detail'!AC37</f>
        <v>0</v>
      </c>
      <c r="J35" s="5"/>
      <c r="K35" s="5">
        <f t="shared" si="0"/>
        <v>138794613.75</v>
      </c>
      <c r="L35" s="5"/>
      <c r="M35" s="5">
        <f>+K34+K35</f>
        <v>347234852.5</v>
      </c>
      <c r="N35" s="2"/>
      <c r="O35" s="2"/>
      <c r="P35" s="2"/>
      <c r="Q35" s="2"/>
      <c r="R35" s="2"/>
      <c r="S35" s="2"/>
      <c r="T35" s="2"/>
      <c r="U35" s="2"/>
    </row>
    <row r="36" spans="1:21" ht="13.9" x14ac:dyDescent="0.4">
      <c r="A36" s="8">
        <v>48563</v>
      </c>
      <c r="B36" s="8"/>
      <c r="C36" s="5">
        <f>'Series Detail'!R38-'Series Detail'!Y38</f>
        <v>8868731.25</v>
      </c>
      <c r="D36" s="5"/>
      <c r="E36" s="5">
        <f>'Series Detail'!S38-'Series Detail'!AA38</f>
        <v>42607488.75</v>
      </c>
      <c r="F36" s="5"/>
      <c r="G36" s="5">
        <f>'Series Detail'!T38-'Series Detail'!AB38</f>
        <v>157046268.75</v>
      </c>
      <c r="H36" s="5"/>
      <c r="I36" s="5">
        <f>'Series Detail'!U38-'Series Detail'!AC38</f>
        <v>0</v>
      </c>
      <c r="J36" s="5"/>
      <c r="K36" s="5">
        <f t="shared" si="0"/>
        <v>208522488.75</v>
      </c>
      <c r="L36" s="5"/>
      <c r="M36" s="4"/>
      <c r="N36" s="2"/>
      <c r="O36" s="2"/>
      <c r="P36" s="2"/>
      <c r="Q36" s="2"/>
      <c r="R36" s="2"/>
      <c r="S36" s="2"/>
      <c r="T36" s="2"/>
      <c r="U36" s="2"/>
    </row>
    <row r="37" spans="1:21" ht="13.9" x14ac:dyDescent="0.4">
      <c r="A37" s="8">
        <v>48745</v>
      </c>
      <c r="B37" s="8"/>
      <c r="C37" s="5">
        <f>'Series Detail'!R39-'Series Detail'!Y39</f>
        <v>3130112.8</v>
      </c>
      <c r="D37" s="5"/>
      <c r="E37" s="5">
        <f>'Series Detail'!S39-'Series Detail'!AA39</f>
        <v>42501988.75</v>
      </c>
      <c r="F37" s="5"/>
      <c r="G37" s="5">
        <f>'Series Detail'!T39-'Series Detail'!AB39</f>
        <v>93094887.200000003</v>
      </c>
      <c r="H37" s="5"/>
      <c r="I37" s="5">
        <f>'Series Detail'!U39-'Series Detail'!AC39</f>
        <v>0</v>
      </c>
      <c r="J37" s="5"/>
      <c r="K37" s="5">
        <f t="shared" si="0"/>
        <v>138726988.75</v>
      </c>
      <c r="L37" s="5"/>
      <c r="M37" s="5">
        <f>+K36+K37</f>
        <v>347249477.5</v>
      </c>
      <c r="N37" s="2"/>
      <c r="O37" s="2"/>
      <c r="P37" s="2"/>
      <c r="Q37" s="2"/>
      <c r="R37" s="2"/>
      <c r="S37" s="2"/>
      <c r="T37" s="2"/>
      <c r="U37" s="2"/>
    </row>
    <row r="38" spans="1:21" ht="13.9" x14ac:dyDescent="0.4">
      <c r="A38" s="8">
        <v>48928</v>
      </c>
      <c r="B38" s="8"/>
      <c r="C38" s="5">
        <f>'Series Detail'!R40-'Series Detail'!Y40</f>
        <v>8542775.0499999989</v>
      </c>
      <c r="D38" s="5"/>
      <c r="E38" s="5">
        <f>'Series Detail'!S40-'Series Detail'!AA40</f>
        <v>42488613.75</v>
      </c>
      <c r="F38" s="5"/>
      <c r="G38" s="5">
        <f>'Series Detail'!T40-'Series Detail'!AB40</f>
        <v>157557224.94999999</v>
      </c>
      <c r="H38" s="5"/>
      <c r="I38" s="5">
        <f>'Series Detail'!U40-'Series Detail'!AC40</f>
        <v>0</v>
      </c>
      <c r="J38" s="5"/>
      <c r="K38" s="5">
        <f t="shared" si="0"/>
        <v>208588613.75</v>
      </c>
      <c r="L38" s="5"/>
      <c r="M38" s="4"/>
      <c r="N38" s="2"/>
      <c r="O38" s="2"/>
      <c r="P38" s="2"/>
      <c r="Q38" s="2"/>
      <c r="R38" s="2"/>
      <c r="S38" s="2"/>
      <c r="T38" s="2"/>
      <c r="U38" s="2"/>
    </row>
    <row r="39" spans="1:21" ht="13.9" x14ac:dyDescent="0.4">
      <c r="A39" s="8">
        <v>49110</v>
      </c>
      <c r="B39" s="8"/>
      <c r="C39" s="5">
        <f>'Series Detail'!R41-'Series Detail'!Y41</f>
        <v>2889956.5999999996</v>
      </c>
      <c r="D39" s="5"/>
      <c r="E39" s="5">
        <f>'Series Detail'!S41-'Series Detail'!AA41</f>
        <v>42378488.75</v>
      </c>
      <c r="F39" s="5"/>
      <c r="G39" s="5">
        <f>'Series Detail'!T41-'Series Detail'!AB41</f>
        <v>93380043.400000006</v>
      </c>
      <c r="H39" s="5"/>
      <c r="I39" s="5">
        <f>'Series Detail'!U41-'Series Detail'!AC41</f>
        <v>0</v>
      </c>
      <c r="J39" s="5"/>
      <c r="K39" s="5">
        <f t="shared" si="0"/>
        <v>138648488.75</v>
      </c>
      <c r="L39" s="5"/>
      <c r="M39" s="5">
        <f>+K38+K39</f>
        <v>347237102.5</v>
      </c>
      <c r="N39" s="2"/>
      <c r="O39" s="2"/>
      <c r="P39" s="2"/>
      <c r="Q39" s="2"/>
      <c r="R39" s="2"/>
      <c r="S39" s="2"/>
      <c r="T39" s="2"/>
      <c r="U39" s="2"/>
    </row>
    <row r="40" spans="1:21" ht="13.9" x14ac:dyDescent="0.4">
      <c r="A40" s="8">
        <v>49293</v>
      </c>
      <c r="B40" s="8"/>
      <c r="C40" s="5">
        <f>'Series Detail'!R42-'Series Detail'!Y42</f>
        <v>8301795.1500000004</v>
      </c>
      <c r="D40" s="5"/>
      <c r="E40" s="5">
        <f>'Series Detail'!S42-'Series Detail'!AA42</f>
        <v>42363988.75</v>
      </c>
      <c r="F40" s="5"/>
      <c r="G40" s="5">
        <f>'Series Detail'!T42-'Series Detail'!AB42</f>
        <v>158013204.84999999</v>
      </c>
      <c r="H40" s="5"/>
      <c r="I40" s="5">
        <f>'Series Detail'!U42-'Series Detail'!AC42</f>
        <v>0</v>
      </c>
      <c r="J40" s="5"/>
      <c r="K40" s="5">
        <f t="shared" si="0"/>
        <v>208678988.75</v>
      </c>
      <c r="L40" s="5"/>
      <c r="M40" s="4"/>
      <c r="N40" s="2"/>
      <c r="O40" s="2"/>
      <c r="P40" s="2"/>
      <c r="Q40" s="2"/>
      <c r="R40" s="2"/>
      <c r="S40" s="2"/>
      <c r="T40" s="2"/>
      <c r="U40" s="2"/>
    </row>
    <row r="41" spans="1:21" ht="13.9" x14ac:dyDescent="0.4">
      <c r="A41" s="8">
        <v>49475</v>
      </c>
      <c r="B41" s="8"/>
      <c r="C41" s="5">
        <f>'Series Detail'!R43-'Series Detail'!Y43</f>
        <v>2685421.2</v>
      </c>
      <c r="D41" s="5"/>
      <c r="E41" s="5">
        <f>'Series Detail'!S43-'Series Detail'!AA43</f>
        <v>42248488.75</v>
      </c>
      <c r="F41" s="5"/>
      <c r="G41" s="5">
        <f>'Series Detail'!T43-'Series Detail'!AB43</f>
        <v>93634578.799999997</v>
      </c>
      <c r="H41" s="5"/>
      <c r="I41" s="5">
        <f>'Series Detail'!U43-'Series Detail'!AC43</f>
        <v>0</v>
      </c>
      <c r="J41" s="5"/>
      <c r="K41" s="5">
        <f t="shared" si="0"/>
        <v>138568488.75</v>
      </c>
      <c r="L41" s="5"/>
      <c r="M41" s="5">
        <f>+K40+K41</f>
        <v>347247477.5</v>
      </c>
      <c r="N41" s="2"/>
      <c r="O41" s="2"/>
      <c r="P41" s="2"/>
      <c r="Q41" s="2"/>
      <c r="R41" s="2"/>
      <c r="S41" s="2"/>
      <c r="T41" s="2"/>
      <c r="U41" s="2"/>
    </row>
    <row r="42" spans="1:21" ht="13.9" x14ac:dyDescent="0.4">
      <c r="A42" s="8">
        <v>49658</v>
      </c>
      <c r="B42" s="8"/>
      <c r="C42" s="5">
        <f>'Series Detail'!R44-'Series Detail'!Y44</f>
        <v>6555709.0499999989</v>
      </c>
      <c r="D42" s="5"/>
      <c r="E42" s="5">
        <f>'Series Detail'!S44-'Series Detail'!AA44</f>
        <v>42232738.75</v>
      </c>
      <c r="F42" s="5"/>
      <c r="G42" s="5">
        <f>'Series Detail'!T44-'Series Detail'!AB44</f>
        <v>159959290.94999999</v>
      </c>
      <c r="H42" s="5"/>
      <c r="I42" s="5">
        <f>'Series Detail'!U44-'Series Detail'!AC44</f>
        <v>0</v>
      </c>
      <c r="J42" s="5"/>
      <c r="K42" s="5">
        <f t="shared" si="0"/>
        <v>208747738.75</v>
      </c>
      <c r="L42" s="5"/>
      <c r="M42" s="4"/>
      <c r="N42" s="2"/>
      <c r="O42" s="2"/>
      <c r="P42" s="2"/>
      <c r="Q42" s="2"/>
      <c r="R42" s="2"/>
      <c r="S42" s="2"/>
      <c r="T42" s="2"/>
      <c r="U42" s="2"/>
    </row>
    <row r="43" spans="1:21" ht="13.9" x14ac:dyDescent="0.4">
      <c r="A43" s="8">
        <v>49841</v>
      </c>
      <c r="B43" s="8"/>
      <c r="C43" s="5">
        <f>'Series Detail'!R45-'Series Detail'!Y45</f>
        <v>2514592.8000000003</v>
      </c>
      <c r="D43" s="5"/>
      <c r="E43" s="5">
        <f>'Series Detail'!S45-'Series Detail'!AA45</f>
        <v>42117196.25</v>
      </c>
      <c r="F43" s="5"/>
      <c r="G43" s="5">
        <f>'Series Detail'!T45-'Series Detail'!AB45</f>
        <v>93860407.200000003</v>
      </c>
      <c r="H43" s="5"/>
      <c r="I43" s="5">
        <f>'Series Detail'!U45-'Series Detail'!AC45</f>
        <v>0</v>
      </c>
      <c r="J43" s="5"/>
      <c r="K43" s="5">
        <f t="shared" si="0"/>
        <v>138492196.25</v>
      </c>
      <c r="L43" s="5"/>
      <c r="M43" s="5">
        <f>+K42+K43</f>
        <v>347239935</v>
      </c>
      <c r="N43" s="2"/>
      <c r="O43" s="2"/>
      <c r="P43" s="2"/>
      <c r="Q43" s="2"/>
      <c r="R43" s="2"/>
      <c r="S43" s="2"/>
      <c r="T43" s="2"/>
      <c r="U43" s="2"/>
    </row>
    <row r="44" spans="1:21" ht="13.9" x14ac:dyDescent="0.4">
      <c r="A44" s="8">
        <v>50024</v>
      </c>
      <c r="B44" s="8"/>
      <c r="C44" s="5">
        <f>'Series Detail'!R46-'Series Detail'!Y46</f>
        <v>6338153.3999999994</v>
      </c>
      <c r="D44" s="5"/>
      <c r="E44" s="5">
        <f>'Series Detail'!S46-'Series Detail'!AA46</f>
        <v>42100071.25</v>
      </c>
      <c r="F44" s="5"/>
      <c r="G44" s="5">
        <f>'Series Detail'!T46-'Series Detail'!AB46</f>
        <v>160396846.59999996</v>
      </c>
      <c r="H44" s="5"/>
      <c r="I44" s="5">
        <f>'Series Detail'!U46-'Series Detail'!AC46</f>
        <v>0</v>
      </c>
      <c r="J44" s="5"/>
      <c r="K44" s="5">
        <f t="shared" si="0"/>
        <v>208835071.24999997</v>
      </c>
      <c r="L44" s="5"/>
      <c r="M44" s="4"/>
      <c r="N44" s="2"/>
      <c r="O44" s="2"/>
      <c r="P44" s="2"/>
      <c r="Q44" s="2"/>
      <c r="R44" s="2"/>
      <c r="S44" s="2"/>
      <c r="T44" s="2"/>
      <c r="U44" s="2"/>
    </row>
    <row r="45" spans="1:21" ht="13.9" x14ac:dyDescent="0.4">
      <c r="A45" s="8">
        <v>50206</v>
      </c>
      <c r="B45" s="8"/>
      <c r="C45" s="5">
        <f>'Series Detail'!R47-'Series Detail'!Y47</f>
        <v>2368643.8000000003</v>
      </c>
      <c r="D45" s="5"/>
      <c r="E45" s="5">
        <f>'Series Detail'!S47-'Series Detail'!AA47</f>
        <v>41979276.25</v>
      </c>
      <c r="F45" s="5"/>
      <c r="G45" s="5">
        <f>'Series Detail'!T47-'Series Detail'!AB47</f>
        <v>94061356.200000003</v>
      </c>
      <c r="H45" s="5"/>
      <c r="I45" s="5">
        <f>'Series Detail'!U47-'Series Detail'!AC47</f>
        <v>0</v>
      </c>
      <c r="J45" s="5"/>
      <c r="K45" s="5">
        <f t="shared" si="0"/>
        <v>138409276.25</v>
      </c>
      <c r="L45" s="5"/>
      <c r="M45" s="5">
        <f>+K44+K45</f>
        <v>347244347.5</v>
      </c>
      <c r="N45" s="2"/>
      <c r="O45" s="2"/>
      <c r="P45" s="2"/>
      <c r="Q45" s="2"/>
      <c r="R45" s="2"/>
      <c r="S45" s="2"/>
      <c r="T45" s="2"/>
      <c r="U45" s="2"/>
    </row>
    <row r="46" spans="1:21" ht="13.9" x14ac:dyDescent="0.4">
      <c r="A46" s="8">
        <v>50389</v>
      </c>
      <c r="B46" s="8"/>
      <c r="C46" s="5">
        <f>'Series Detail'!R48-'Series Detail'!Y48</f>
        <v>6159404.5499999998</v>
      </c>
      <c r="D46" s="5"/>
      <c r="E46" s="5">
        <f>'Series Detail'!S48-'Series Detail'!AA48</f>
        <v>41960776.25</v>
      </c>
      <c r="F46" s="5"/>
      <c r="G46" s="5">
        <f>'Series Detail'!T48-'Series Detail'!AB48</f>
        <v>160795595.45000002</v>
      </c>
      <c r="H46" s="5"/>
      <c r="I46" s="5">
        <f>'Series Detail'!U48-'Series Detail'!AC48</f>
        <v>0</v>
      </c>
      <c r="J46" s="5"/>
      <c r="K46" s="5">
        <f t="shared" si="0"/>
        <v>208915776.25</v>
      </c>
      <c r="L46" s="5"/>
      <c r="M46" s="4"/>
      <c r="N46" s="2"/>
      <c r="O46" s="2"/>
      <c r="P46" s="2"/>
      <c r="Q46" s="2"/>
      <c r="R46" s="2"/>
      <c r="S46" s="2"/>
      <c r="T46" s="2"/>
      <c r="U46" s="2"/>
    </row>
    <row r="47" spans="1:21" ht="13.9" x14ac:dyDescent="0.4">
      <c r="A47" s="8">
        <v>50571</v>
      </c>
      <c r="B47" s="8"/>
      <c r="C47" s="5">
        <f>'Series Detail'!R49-'Series Detail'!Y49</f>
        <v>2248746.6</v>
      </c>
      <c r="D47" s="5"/>
      <c r="E47" s="5">
        <f>'Series Detail'!S49-'Series Detail'!AA49</f>
        <v>41834728.75</v>
      </c>
      <c r="F47" s="5"/>
      <c r="G47" s="5">
        <f>'Series Detail'!T49-'Series Detail'!AB49</f>
        <v>94241253.400000006</v>
      </c>
      <c r="H47" s="5"/>
      <c r="I47" s="5">
        <f>'Series Detail'!U49-'Series Detail'!AC49</f>
        <v>0</v>
      </c>
      <c r="J47" s="5"/>
      <c r="K47" s="5">
        <f t="shared" si="0"/>
        <v>138324728.75</v>
      </c>
      <c r="L47" s="5"/>
      <c r="M47" s="5">
        <f>+K46+K47</f>
        <v>347240505</v>
      </c>
      <c r="N47" s="2"/>
      <c r="O47" s="2"/>
      <c r="P47" s="2"/>
      <c r="Q47" s="2"/>
      <c r="R47" s="2"/>
      <c r="S47" s="2"/>
      <c r="T47" s="2"/>
      <c r="U47" s="2"/>
    </row>
    <row r="48" spans="1:21" ht="13.9" x14ac:dyDescent="0.4">
      <c r="A48" s="8">
        <v>50754</v>
      </c>
      <c r="B48" s="8"/>
      <c r="C48" s="5">
        <f>'Series Detail'!R50-'Series Detail'!Y50</f>
        <v>5990942.8500000006</v>
      </c>
      <c r="D48" s="5"/>
      <c r="E48" s="5">
        <f>'Series Detail'!S50-'Series Detail'!AA50</f>
        <v>41814728.75</v>
      </c>
      <c r="F48" s="5"/>
      <c r="G48" s="5">
        <f>'Series Detail'!T50-'Series Detail'!AB50</f>
        <v>161204057.14999998</v>
      </c>
      <c r="H48" s="5"/>
      <c r="I48" s="5">
        <f>'Series Detail'!U50-'Series Detail'!AC50</f>
        <v>0</v>
      </c>
      <c r="J48" s="5"/>
      <c r="K48" s="5">
        <f t="shared" si="0"/>
        <v>209009728.74999997</v>
      </c>
      <c r="L48" s="5"/>
      <c r="M48" s="4"/>
      <c r="N48" s="2"/>
      <c r="O48" s="2"/>
      <c r="P48" s="2"/>
      <c r="Q48" s="2"/>
      <c r="R48" s="2"/>
      <c r="S48" s="2"/>
      <c r="T48" s="2"/>
      <c r="U48" s="2"/>
    </row>
    <row r="49" spans="1:21" ht="13.9" x14ac:dyDescent="0.4">
      <c r="A49" s="8">
        <v>50936</v>
      </c>
      <c r="B49" s="8"/>
      <c r="C49" s="5">
        <f>'Series Detail'!R51-'Series Detail'!Y51</f>
        <v>2154901.2000000002</v>
      </c>
      <c r="D49" s="5"/>
      <c r="E49" s="5">
        <f>'Series Detail'!S51-'Series Detail'!AA51</f>
        <v>41680090</v>
      </c>
      <c r="F49" s="5"/>
      <c r="G49" s="5">
        <f>'Series Detail'!T51-'Series Detail'!AB51</f>
        <v>94400098.799999997</v>
      </c>
      <c r="H49" s="5"/>
      <c r="I49" s="5">
        <f>'Series Detail'!U51-'Series Detail'!AC51</f>
        <v>0</v>
      </c>
      <c r="J49" s="5"/>
      <c r="K49" s="5">
        <f t="shared" si="0"/>
        <v>138235090</v>
      </c>
      <c r="L49" s="5"/>
      <c r="M49" s="5">
        <f>+K48+K49</f>
        <v>347244818.75</v>
      </c>
      <c r="N49" s="2"/>
      <c r="O49" s="2"/>
      <c r="P49" s="2"/>
      <c r="Q49" s="2"/>
      <c r="R49" s="2"/>
      <c r="S49" s="2"/>
      <c r="T49" s="2"/>
      <c r="U49" s="2"/>
    </row>
    <row r="50" spans="1:21" ht="13.9" x14ac:dyDescent="0.4">
      <c r="A50" s="8">
        <v>51119</v>
      </c>
      <c r="B50" s="8"/>
      <c r="C50" s="5">
        <f>'Series Detail'!R52-'Series Detail'!Y52</f>
        <v>5897223.4500000002</v>
      </c>
      <c r="D50" s="5"/>
      <c r="E50" s="5">
        <f>'Series Detail'!S52-'Series Detail'!AA52</f>
        <v>41658465</v>
      </c>
      <c r="F50" s="5"/>
      <c r="G50" s="5">
        <f>'Series Detail'!T52-'Series Detail'!AB52</f>
        <v>161547776.55000001</v>
      </c>
      <c r="H50" s="5"/>
      <c r="I50" s="5">
        <f>'Series Detail'!U52-'Series Detail'!AC52</f>
        <v>0</v>
      </c>
      <c r="J50" s="5"/>
      <c r="K50" s="5">
        <f t="shared" si="0"/>
        <v>209103465</v>
      </c>
      <c r="L50" s="5"/>
      <c r="M50" s="4"/>
      <c r="N50" s="2"/>
      <c r="O50" s="2"/>
      <c r="P50" s="2"/>
      <c r="Q50" s="2"/>
      <c r="R50" s="2"/>
      <c r="S50" s="2"/>
      <c r="T50" s="2"/>
      <c r="U50" s="2"/>
    </row>
    <row r="51" spans="1:21" ht="13.9" x14ac:dyDescent="0.4">
      <c r="A51" s="8">
        <v>51302</v>
      </c>
      <c r="B51" s="8"/>
      <c r="C51" s="5">
        <f>'Series Detail'!R53-'Series Detail'!Y53</f>
        <v>2077323.1</v>
      </c>
      <c r="D51" s="5"/>
      <c r="E51" s="5">
        <f>'Series Detail'!S53-'Series Detail'!AA53</f>
        <v>41517715</v>
      </c>
      <c r="F51" s="5"/>
      <c r="G51" s="5">
        <f>'Series Detail'!T53-'Series Detail'!AB53</f>
        <v>94542676.900000006</v>
      </c>
      <c r="H51" s="5"/>
      <c r="I51" s="5">
        <f>'Series Detail'!U53-'Series Detail'!AC53</f>
        <v>0</v>
      </c>
      <c r="J51" s="5"/>
      <c r="K51" s="5">
        <f t="shared" si="0"/>
        <v>138137715</v>
      </c>
      <c r="L51" s="5"/>
      <c r="M51" s="5">
        <f>+K50+K51</f>
        <v>347241180</v>
      </c>
      <c r="N51" s="2"/>
      <c r="O51" s="2"/>
      <c r="P51" s="2"/>
      <c r="Q51" s="2"/>
      <c r="R51" s="2"/>
      <c r="S51" s="2"/>
      <c r="T51" s="2"/>
      <c r="U51" s="2"/>
    </row>
    <row r="52" spans="1:21" ht="13.9" x14ac:dyDescent="0.4">
      <c r="A52" s="8">
        <v>51485</v>
      </c>
      <c r="B52" s="8"/>
      <c r="C52" s="5">
        <f>'Series Detail'!R54-'Series Detail'!Y54</f>
        <v>5842839.3499999996</v>
      </c>
      <c r="D52" s="5"/>
      <c r="E52" s="5">
        <f>'Series Detail'!S54-'Series Detail'!AA54</f>
        <v>41494465</v>
      </c>
      <c r="F52" s="5"/>
      <c r="G52" s="5">
        <f>'Series Detail'!T54-'Series Detail'!AB54</f>
        <v>161867160.65000001</v>
      </c>
      <c r="H52" s="5"/>
      <c r="I52" s="5">
        <f>'Series Detail'!U54-'Series Detail'!AC54</f>
        <v>0</v>
      </c>
      <c r="J52" s="5"/>
      <c r="K52" s="5">
        <f t="shared" si="0"/>
        <v>209204465</v>
      </c>
      <c r="L52" s="5"/>
      <c r="M52" s="4"/>
      <c r="N52" s="2"/>
      <c r="O52" s="2"/>
      <c r="P52" s="2"/>
      <c r="Q52" s="2"/>
      <c r="R52" s="2"/>
      <c r="S52" s="2"/>
      <c r="T52" s="2"/>
      <c r="U52" s="2"/>
    </row>
    <row r="53" spans="1:21" ht="13.9" x14ac:dyDescent="0.4">
      <c r="A53" s="8">
        <v>51667</v>
      </c>
      <c r="B53" s="8"/>
      <c r="C53" s="5">
        <f>'Series Detail'!R55-'Series Detail'!Y55</f>
        <v>14792558</v>
      </c>
      <c r="D53" s="5"/>
      <c r="E53" s="5">
        <f>'Series Detail'!S55-'Series Detail'!AA55</f>
        <v>41347236.25</v>
      </c>
      <c r="F53" s="5"/>
      <c r="G53" s="5">
        <f>'Series Detail'!T55-'Series Detail'!AB55</f>
        <v>81897298.599999994</v>
      </c>
      <c r="H53" s="5"/>
      <c r="I53" s="5">
        <f>'Series Detail'!U55-'Series Detail'!AC55</f>
        <v>0</v>
      </c>
      <c r="J53" s="5"/>
      <c r="K53" s="5">
        <f t="shared" si="0"/>
        <v>138037092.84999999</v>
      </c>
      <c r="L53" s="5"/>
      <c r="M53" s="5">
        <f>+K52+K53</f>
        <v>347241557.85000002</v>
      </c>
      <c r="N53" s="2"/>
      <c r="O53" s="2"/>
      <c r="P53" s="2"/>
      <c r="Q53" s="2"/>
      <c r="R53" s="2"/>
      <c r="S53" s="2"/>
      <c r="T53" s="2"/>
      <c r="U53" s="2"/>
    </row>
    <row r="54" spans="1:21" ht="13.9" x14ac:dyDescent="0.4">
      <c r="A54" s="8">
        <v>51850</v>
      </c>
      <c r="B54" s="8"/>
      <c r="C54" s="5">
        <f>'Series Detail'!R56-'Series Detail'!Y56</f>
        <v>123051135.40000001</v>
      </c>
      <c r="D54" s="5"/>
      <c r="E54" s="5">
        <f>'Series Detail'!S56-'Series Detail'!AA56</f>
        <v>41323861.25</v>
      </c>
      <c r="F54" s="5"/>
      <c r="G54" s="5">
        <f>'Series Detail'!T56-'Series Detail'!AB56</f>
        <v>34863864.600000001</v>
      </c>
      <c r="H54" s="5"/>
      <c r="I54" s="5">
        <f>'Series Detail'!U56-'Series Detail'!AC56</f>
        <v>0</v>
      </c>
      <c r="J54" s="5"/>
      <c r="K54" s="5">
        <f t="shared" si="0"/>
        <v>199238861.25</v>
      </c>
      <c r="L54" s="5"/>
      <c r="M54" s="4"/>
      <c r="N54" s="2"/>
      <c r="O54" s="2"/>
      <c r="P54" s="2"/>
      <c r="Q54" s="2"/>
      <c r="R54" s="2"/>
      <c r="S54" s="2"/>
      <c r="T54" s="2"/>
      <c r="U54" s="2"/>
    </row>
    <row r="55" spans="1:21" ht="13.9" x14ac:dyDescent="0.4">
      <c r="A55" s="8">
        <v>52032</v>
      </c>
      <c r="B55" s="8"/>
      <c r="C55" s="5">
        <f>'Series Detail'!R57-'Series Detail'!Y57</f>
        <v>109365000</v>
      </c>
      <c r="D55" s="5"/>
      <c r="E55" s="5">
        <f>'Series Detail'!S57-'Series Detail'!AA57</f>
        <v>38638262.5</v>
      </c>
      <c r="F55" s="5"/>
      <c r="G55" s="5">
        <f>'Series Detail'!T57-'Series Detail'!AB57</f>
        <v>0</v>
      </c>
      <c r="H55" s="5"/>
      <c r="I55" s="5">
        <f>'Series Detail'!U57-'Series Detail'!AC57</f>
        <v>0</v>
      </c>
      <c r="J55" s="5"/>
      <c r="K55" s="5">
        <f t="shared" si="0"/>
        <v>148003262.5</v>
      </c>
      <c r="L55" s="5"/>
      <c r="M55" s="5">
        <f>+K54+K55</f>
        <v>347242123.75</v>
      </c>
      <c r="N55" s="2"/>
      <c r="O55" s="2"/>
      <c r="P55" s="2"/>
      <c r="Q55" s="2"/>
      <c r="R55" s="2"/>
      <c r="S55" s="2"/>
      <c r="T55" s="2"/>
      <c r="U55" s="2"/>
    </row>
    <row r="56" spans="1:21" ht="13.9" x14ac:dyDescent="0.4">
      <c r="A56" s="8">
        <v>52215</v>
      </c>
      <c r="B56" s="8"/>
      <c r="C56" s="5">
        <f>'Series Detail'!R58-'Series Detail'!Y58</f>
        <v>5488967.5</v>
      </c>
      <c r="D56" s="5"/>
      <c r="E56" s="5">
        <f>'Series Detail'!S58-'Series Detail'!AA58</f>
        <v>36132231.25</v>
      </c>
      <c r="F56" s="5"/>
      <c r="G56" s="5">
        <f>'Series Detail'!T58-'Series Detail'!AB58</f>
        <v>2206032.5</v>
      </c>
      <c r="H56" s="5"/>
      <c r="I56" s="5">
        <f>'Series Detail'!U58-'Series Detail'!AC58</f>
        <v>0</v>
      </c>
      <c r="J56" s="5"/>
      <c r="K56" s="5">
        <f t="shared" si="0"/>
        <v>43827231.25</v>
      </c>
      <c r="L56" s="5"/>
      <c r="M56" s="4"/>
      <c r="N56" s="2"/>
      <c r="O56" s="2"/>
      <c r="P56" s="2"/>
      <c r="Q56" s="2"/>
      <c r="R56" s="2"/>
      <c r="S56" s="2"/>
      <c r="T56" s="2"/>
      <c r="U56" s="2"/>
    </row>
    <row r="57" spans="1:21" ht="13.9" x14ac:dyDescent="0.4">
      <c r="A57" s="8">
        <v>52397</v>
      </c>
      <c r="B57" s="8"/>
      <c r="C57" s="5">
        <f>'Series Detail'!R59-'Series Detail'!Y59</f>
        <v>36068329.5</v>
      </c>
      <c r="D57" s="5"/>
      <c r="E57" s="5">
        <f>'Series Detail'!S59-'Series Detail'!AA59</f>
        <v>35943325</v>
      </c>
      <c r="F57" s="5"/>
      <c r="G57" s="5">
        <f>'Series Detail'!T59-'Series Detail'!AB59</f>
        <v>231401670.5</v>
      </c>
      <c r="H57" s="5"/>
      <c r="I57" s="5">
        <f>'Series Detail'!U59-'Series Detail'!AC59</f>
        <v>0</v>
      </c>
      <c r="J57" s="5"/>
      <c r="K57" s="5">
        <f t="shared" si="0"/>
        <v>303413325</v>
      </c>
      <c r="L57" s="5"/>
      <c r="M57" s="5">
        <f>+K56+K57</f>
        <v>347240556.25</v>
      </c>
      <c r="N57" s="2"/>
      <c r="O57" s="2"/>
      <c r="P57" s="2"/>
      <c r="Q57" s="2"/>
      <c r="R57" s="2"/>
      <c r="S57" s="2"/>
      <c r="T57" s="2"/>
      <c r="U57" s="2"/>
    </row>
    <row r="58" spans="1:21" ht="13.9" x14ac:dyDescent="0.4">
      <c r="A58" s="8">
        <v>52580</v>
      </c>
      <c r="B58" s="8"/>
      <c r="C58" s="5">
        <f>'Series Detail'!R60-'Series Detail'!Y60</f>
        <v>5733537.5999999996</v>
      </c>
      <c r="D58" s="5"/>
      <c r="E58" s="5">
        <f>'Series Detail'!S60-'Series Detail'!AA60</f>
        <v>35943325</v>
      </c>
      <c r="F58" s="5"/>
      <c r="G58" s="5">
        <f>'Series Detail'!T60-'Series Detail'!AB60</f>
        <v>2351462.3999999999</v>
      </c>
      <c r="H58" s="5"/>
      <c r="I58" s="5">
        <f>'Series Detail'!U60-'Series Detail'!AC60</f>
        <v>0</v>
      </c>
      <c r="J58" s="5"/>
      <c r="K58" s="5">
        <f t="shared" si="0"/>
        <v>44028325</v>
      </c>
      <c r="L58" s="5"/>
      <c r="M58" s="4"/>
      <c r="N58" s="2"/>
      <c r="O58" s="2"/>
      <c r="P58" s="2"/>
      <c r="Q58" s="2"/>
      <c r="R58" s="2"/>
      <c r="S58" s="2"/>
      <c r="T58" s="2"/>
      <c r="U58" s="2"/>
    </row>
    <row r="59" spans="1:21" ht="13.9" x14ac:dyDescent="0.4">
      <c r="A59" s="8">
        <v>52763</v>
      </c>
      <c r="B59" s="8"/>
      <c r="C59" s="5">
        <f>'Series Detail'!R61-'Series Detail'!Y61</f>
        <v>33701220</v>
      </c>
      <c r="D59" s="5"/>
      <c r="E59" s="5">
        <f>'Series Detail'!S61-'Series Detail'!AA61</f>
        <v>35742415</v>
      </c>
      <c r="F59" s="5"/>
      <c r="G59" s="5">
        <f>'Series Detail'!T61-'Series Detail'!AB61</f>
        <v>233768780</v>
      </c>
      <c r="H59" s="5"/>
      <c r="I59" s="5">
        <f>'Series Detail'!U61-'Series Detail'!AC61</f>
        <v>0</v>
      </c>
      <c r="J59" s="5"/>
      <c r="K59" s="5">
        <f t="shared" si="0"/>
        <v>303212415</v>
      </c>
      <c r="L59" s="5"/>
      <c r="M59" s="5">
        <f>+K58+K59</f>
        <v>347240740</v>
      </c>
      <c r="N59" s="2"/>
      <c r="O59" s="2"/>
      <c r="P59" s="2"/>
      <c r="Q59" s="2"/>
      <c r="R59" s="2"/>
      <c r="S59" s="2"/>
      <c r="T59" s="2"/>
      <c r="U59" s="2"/>
    </row>
    <row r="60" spans="1:21" ht="13.9" x14ac:dyDescent="0.4">
      <c r="A60" s="8">
        <v>52946</v>
      </c>
      <c r="B60" s="8"/>
      <c r="C60" s="5">
        <f>'Series Detail'!R62-'Series Detail'!Y62</f>
        <v>6032577.5999999996</v>
      </c>
      <c r="D60" s="5"/>
      <c r="E60" s="5">
        <f>'Series Detail'!S62-'Series Detail'!AA62</f>
        <v>35742415</v>
      </c>
      <c r="F60" s="5"/>
      <c r="G60" s="5">
        <f>'Series Detail'!T62-'Series Detail'!AB62</f>
        <v>2472422.3999999999</v>
      </c>
      <c r="H60" s="5"/>
      <c r="I60" s="5">
        <f>'Series Detail'!U62-'Series Detail'!AC62</f>
        <v>0</v>
      </c>
      <c r="J60" s="5"/>
      <c r="K60" s="5">
        <f t="shared" si="0"/>
        <v>44247415</v>
      </c>
      <c r="L60" s="5"/>
      <c r="M60" s="4"/>
      <c r="N60" s="2"/>
      <c r="O60" s="2"/>
      <c r="P60" s="2"/>
      <c r="Q60" s="2"/>
      <c r="R60" s="2"/>
      <c r="S60" s="2"/>
      <c r="T60" s="2"/>
      <c r="U60" s="2"/>
    </row>
    <row r="61" spans="1:21" ht="13.9" x14ac:dyDescent="0.4">
      <c r="A61" s="8">
        <v>53128</v>
      </c>
      <c r="B61" s="8"/>
      <c r="C61" s="5">
        <f>'Series Detail'!R63-'Series Detail'!Y63</f>
        <v>31689253.199999999</v>
      </c>
      <c r="D61" s="5"/>
      <c r="E61" s="5">
        <f>'Series Detail'!S63-'Series Detail'!AA63</f>
        <v>35531067.5</v>
      </c>
      <c r="F61" s="5"/>
      <c r="G61" s="5">
        <f>'Series Detail'!T63-'Series Detail'!AB63</f>
        <v>235775746.80000001</v>
      </c>
      <c r="H61" s="5"/>
      <c r="I61" s="5">
        <f>'Series Detail'!U63-'Series Detail'!AC63</f>
        <v>0</v>
      </c>
      <c r="J61" s="5"/>
      <c r="K61" s="5">
        <f t="shared" si="0"/>
        <v>302996067.5</v>
      </c>
      <c r="L61" s="5"/>
      <c r="M61" s="5">
        <f>+K60+K61</f>
        <v>347243482.5</v>
      </c>
      <c r="N61" s="2"/>
      <c r="O61" s="2"/>
      <c r="P61" s="2"/>
      <c r="Q61" s="2"/>
      <c r="R61" s="2"/>
      <c r="S61" s="2"/>
      <c r="T61" s="2"/>
      <c r="U61" s="2"/>
    </row>
    <row r="62" spans="1:21" ht="13.9" x14ac:dyDescent="0.4">
      <c r="A62" s="8">
        <v>53311</v>
      </c>
      <c r="B62" s="8"/>
      <c r="C62" s="5">
        <f>'Series Detail'!R64-'Series Detail'!Y64</f>
        <v>6334198.4000000004</v>
      </c>
      <c r="D62" s="5"/>
      <c r="E62" s="5">
        <f>'Series Detail'!S64-'Series Detail'!AA64</f>
        <v>35531067.5</v>
      </c>
      <c r="F62" s="5"/>
      <c r="G62" s="5">
        <f>'Series Detail'!T64-'Series Detail'!AB64</f>
        <v>2595801.6</v>
      </c>
      <c r="H62" s="5"/>
      <c r="I62" s="5">
        <f>'Series Detail'!U64-'Series Detail'!AC64</f>
        <v>0</v>
      </c>
      <c r="J62" s="5"/>
      <c r="K62" s="5">
        <f t="shared" si="0"/>
        <v>44461067.5</v>
      </c>
      <c r="L62" s="5"/>
      <c r="M62" s="4"/>
      <c r="N62" s="2"/>
      <c r="O62" s="2"/>
      <c r="P62" s="2"/>
      <c r="Q62" s="2"/>
      <c r="R62" s="2"/>
      <c r="S62" s="2"/>
      <c r="T62" s="2"/>
      <c r="U62" s="2"/>
    </row>
    <row r="63" spans="1:21" ht="13.9" x14ac:dyDescent="0.4">
      <c r="A63" s="8">
        <v>53493</v>
      </c>
      <c r="B63" s="8"/>
      <c r="C63" s="5">
        <f>'Series Detail'!R65-'Series Detail'!Y65</f>
        <v>29798832.699999999</v>
      </c>
      <c r="D63" s="5"/>
      <c r="E63" s="5">
        <f>'Series Detail'!S65-'Series Detail'!AA65</f>
        <v>35309158.75</v>
      </c>
      <c r="F63" s="5"/>
      <c r="G63" s="5">
        <f>'Series Detail'!T65-'Series Detail'!AB65</f>
        <v>237671167.30000001</v>
      </c>
      <c r="H63" s="5"/>
      <c r="I63" s="5">
        <f>'Series Detail'!U65-'Series Detail'!AC65</f>
        <v>0</v>
      </c>
      <c r="J63" s="5"/>
      <c r="K63" s="5">
        <f t="shared" si="0"/>
        <v>302779158.75</v>
      </c>
      <c r="L63" s="5"/>
      <c r="M63" s="5">
        <f>+K62+K63</f>
        <v>347240226.25</v>
      </c>
      <c r="N63" s="2"/>
      <c r="O63" s="2"/>
      <c r="P63" s="2"/>
      <c r="Q63" s="2"/>
      <c r="R63" s="2"/>
      <c r="S63" s="2"/>
      <c r="T63" s="2"/>
      <c r="U63" s="2"/>
    </row>
    <row r="64" spans="1:21" ht="13.9" x14ac:dyDescent="0.4">
      <c r="A64" s="8">
        <v>53676</v>
      </c>
      <c r="B64" s="8"/>
      <c r="C64" s="5">
        <f>'Series Detail'!R66-'Series Detail'!Y66</f>
        <v>33946142.399999999</v>
      </c>
      <c r="D64" s="5"/>
      <c r="E64" s="5">
        <f>'Series Detail'!S66-'Series Detail'!AA66</f>
        <v>35309158.75</v>
      </c>
      <c r="F64" s="5"/>
      <c r="G64" s="5">
        <f>'Series Detail'!T66-'Series Detail'!AB66</f>
        <v>2728857.6000000001</v>
      </c>
      <c r="H64" s="5"/>
      <c r="I64" s="5">
        <f>'Series Detail'!U66-'Series Detail'!AC66</f>
        <v>0</v>
      </c>
      <c r="J64" s="5"/>
      <c r="K64" s="5">
        <f t="shared" si="0"/>
        <v>71984158.75</v>
      </c>
      <c r="L64" s="5"/>
      <c r="M64" s="4"/>
      <c r="N64" s="2"/>
      <c r="O64" s="2"/>
      <c r="P64" s="2"/>
      <c r="Q64" s="2"/>
      <c r="R64" s="2"/>
      <c r="S64" s="2"/>
      <c r="T64" s="2"/>
      <c r="U64" s="2"/>
    </row>
    <row r="65" spans="1:21" ht="13.9" x14ac:dyDescent="0.4">
      <c r="A65" s="8">
        <v>53858</v>
      </c>
      <c r="B65" s="8"/>
      <c r="C65" s="5">
        <f>'Series Detail'!R67-'Series Detail'!Y67</f>
        <v>49661212.200000003</v>
      </c>
      <c r="D65" s="5"/>
      <c r="E65" s="5">
        <f>'Series Detail'!S67-'Series Detail'!AA67</f>
        <v>34379687.5</v>
      </c>
      <c r="F65" s="5"/>
      <c r="G65" s="5">
        <f>'Series Detail'!T67-'Series Detail'!AB67</f>
        <v>191218787.80000001</v>
      </c>
      <c r="H65" s="5"/>
      <c r="I65" s="5">
        <f>'Series Detail'!U67-'Series Detail'!AC67</f>
        <v>0</v>
      </c>
      <c r="J65" s="5"/>
      <c r="K65" s="5">
        <f t="shared" si="0"/>
        <v>275259687.5</v>
      </c>
      <c r="L65" s="5"/>
      <c r="M65" s="5">
        <f>+K64+K65</f>
        <v>347243846.25</v>
      </c>
      <c r="N65" s="2"/>
      <c r="O65" s="2"/>
      <c r="P65" s="2"/>
      <c r="Q65" s="2"/>
      <c r="R65" s="2"/>
      <c r="S65" s="2"/>
      <c r="T65" s="2"/>
      <c r="U65" s="2"/>
    </row>
    <row r="66" spans="1:21" ht="13.9" x14ac:dyDescent="0.4">
      <c r="A66" s="8">
        <v>54041</v>
      </c>
      <c r="B66" s="8"/>
      <c r="C66" s="5">
        <f>'Series Detail'!R68-'Series Detail'!Y68</f>
        <v>143868248</v>
      </c>
      <c r="D66" s="5"/>
      <c r="E66" s="5">
        <f>'Series Detail'!S68-'Series Detail'!AA68</f>
        <v>33683556.25</v>
      </c>
      <c r="F66" s="5"/>
      <c r="G66" s="5">
        <f>'Series Detail'!T68-'Series Detail'!AB68</f>
        <v>2866752</v>
      </c>
      <c r="H66" s="5"/>
      <c r="I66" s="5">
        <f>'Series Detail'!U68-'Series Detail'!AC68</f>
        <v>0</v>
      </c>
      <c r="J66" s="5"/>
      <c r="K66" s="5">
        <f t="shared" si="0"/>
        <v>180418556.25</v>
      </c>
      <c r="L66" s="5"/>
      <c r="M66" s="4"/>
      <c r="N66" s="2"/>
      <c r="O66" s="2"/>
      <c r="P66" s="2"/>
      <c r="Q66" s="2"/>
      <c r="R66" s="2"/>
      <c r="S66" s="2"/>
      <c r="T66" s="2"/>
      <c r="U66" s="2"/>
    </row>
    <row r="67" spans="1:21" ht="13.9" x14ac:dyDescent="0.4">
      <c r="A67" s="8">
        <v>54224</v>
      </c>
      <c r="B67" s="8"/>
      <c r="C67" s="5">
        <f>'Series Detail'!R69-'Series Detail'!Y69</f>
        <v>136865000</v>
      </c>
      <c r="D67" s="5"/>
      <c r="E67" s="5">
        <f>'Series Detail'!S69-'Series Detail'!AA69</f>
        <v>29959515</v>
      </c>
      <c r="F67" s="5"/>
      <c r="G67" s="5">
        <f>'Series Detail'!T69-'Series Detail'!AB69</f>
        <v>0</v>
      </c>
      <c r="H67" s="5"/>
      <c r="I67" s="5">
        <f>'Series Detail'!U69-'Series Detail'!AC69</f>
        <v>0</v>
      </c>
      <c r="J67" s="5"/>
      <c r="K67" s="5">
        <f t="shared" si="0"/>
        <v>166824515</v>
      </c>
      <c r="L67" s="5"/>
      <c r="M67" s="5">
        <f>+K66+K67</f>
        <v>347243071.25</v>
      </c>
      <c r="N67" s="2"/>
      <c r="O67" s="2"/>
      <c r="P67" s="2"/>
      <c r="Q67" s="2"/>
      <c r="R67" s="2"/>
      <c r="S67" s="2"/>
      <c r="T67" s="2"/>
      <c r="U67" s="2"/>
    </row>
    <row r="68" spans="1:21" ht="13.9" x14ac:dyDescent="0.4">
      <c r="A68" s="8">
        <v>54407</v>
      </c>
      <c r="B68" s="8"/>
      <c r="C68" s="5">
        <f>'Series Detail'!R70-'Series Detail'!Y70</f>
        <v>148060000</v>
      </c>
      <c r="D68" s="5"/>
      <c r="E68" s="5">
        <f>'Series Detail'!S70-'Series Detail'!AA70</f>
        <v>26480748.75</v>
      </c>
      <c r="F68" s="5"/>
      <c r="G68" s="5">
        <f>'Series Detail'!T70-'Series Detail'!AB70</f>
        <v>0</v>
      </c>
      <c r="H68" s="5"/>
      <c r="I68" s="5">
        <f>'Series Detail'!U70-'Series Detail'!AC70</f>
        <v>0</v>
      </c>
      <c r="J68" s="5"/>
      <c r="K68" s="5">
        <f t="shared" si="0"/>
        <v>174540748.75</v>
      </c>
      <c r="L68" s="5"/>
      <c r="M68" s="4"/>
      <c r="N68" s="2"/>
      <c r="O68" s="2"/>
      <c r="P68" s="2"/>
      <c r="Q68" s="2"/>
      <c r="R68" s="2"/>
      <c r="S68" s="2"/>
      <c r="T68" s="2"/>
      <c r="U68" s="2"/>
    </row>
    <row r="69" spans="1:21" ht="13.9" x14ac:dyDescent="0.4">
      <c r="A69" s="8">
        <v>54589</v>
      </c>
      <c r="B69" s="8"/>
      <c r="C69" s="5">
        <f>'Series Detail'!R71-'Series Detail'!Y71</f>
        <v>145094595.30000001</v>
      </c>
      <c r="D69" s="5"/>
      <c r="E69" s="5">
        <f>'Series Detail'!S71-'Series Detail'!AA71</f>
        <v>22719350</v>
      </c>
      <c r="F69" s="5"/>
      <c r="G69" s="5">
        <f>'Series Detail'!T71-'Series Detail'!AB71</f>
        <v>4883964</v>
      </c>
      <c r="H69" s="5"/>
      <c r="I69" s="5">
        <f>'Series Detail'!U71-'Series Detail'!AC71</f>
        <v>0</v>
      </c>
      <c r="J69" s="5"/>
      <c r="K69" s="5">
        <f t="shared" si="0"/>
        <v>172697909.30000001</v>
      </c>
      <c r="L69" s="5"/>
      <c r="M69" s="5">
        <f>+K68+K69</f>
        <v>347238658.05000001</v>
      </c>
      <c r="N69" s="2"/>
      <c r="O69" s="2"/>
      <c r="P69" s="2"/>
      <c r="Q69" s="2"/>
      <c r="R69" s="2"/>
      <c r="S69" s="2"/>
      <c r="T69" s="2"/>
      <c r="U69" s="2"/>
    </row>
    <row r="70" spans="1:21" ht="13.9" x14ac:dyDescent="0.4">
      <c r="A70" s="8">
        <v>54772</v>
      </c>
      <c r="B70" s="8"/>
      <c r="C70" s="5">
        <f>'Series Detail'!R72-'Series Detail'!Y72</f>
        <v>141756263.55000001</v>
      </c>
      <c r="D70" s="5"/>
      <c r="E70" s="5">
        <f>'Series Detail'!S72-'Series Detail'!AA72</f>
        <v>19061707.5</v>
      </c>
      <c r="F70" s="5"/>
      <c r="G70" s="5">
        <f>'Series Detail'!T72-'Series Detail'!AB72</f>
        <v>43898910.299999997</v>
      </c>
      <c r="H70" s="5"/>
      <c r="I70" s="5">
        <f>'Series Detail'!U72-'Series Detail'!AC72</f>
        <v>0</v>
      </c>
      <c r="J70" s="5"/>
      <c r="K70" s="5">
        <f t="shared" si="0"/>
        <v>204716881.35000002</v>
      </c>
      <c r="L70" s="5"/>
      <c r="M70" s="4"/>
      <c r="N70" s="2"/>
      <c r="O70" s="2"/>
      <c r="P70" s="2"/>
      <c r="Q70" s="2"/>
      <c r="R70" s="2"/>
      <c r="S70" s="2"/>
      <c r="T70" s="2"/>
      <c r="U70" s="2"/>
    </row>
    <row r="71" spans="1:21" ht="13.9" x14ac:dyDescent="0.4">
      <c r="A71" s="8">
        <v>54954</v>
      </c>
      <c r="B71" s="8"/>
      <c r="C71" s="5">
        <f>'Series Detail'!R73-'Series Detail'!Y73</f>
        <v>126960000</v>
      </c>
      <c r="D71" s="5"/>
      <c r="E71" s="5">
        <f>'Series Detail'!S73-'Series Detail'!AA73</f>
        <v>15559148.75</v>
      </c>
      <c r="F71" s="5"/>
      <c r="G71" s="5">
        <f>'Series Detail'!T73-'Series Detail'!AB73</f>
        <v>0</v>
      </c>
      <c r="H71" s="5"/>
      <c r="I71" s="5">
        <f>'Series Detail'!U73-'Series Detail'!AC73</f>
        <v>0</v>
      </c>
      <c r="J71" s="5"/>
      <c r="K71" s="5">
        <f t="shared" si="0"/>
        <v>142519148.75</v>
      </c>
      <c r="L71" s="5"/>
      <c r="M71" s="5">
        <f>+K70+K71</f>
        <v>347236030.10000002</v>
      </c>
      <c r="N71" s="2"/>
      <c r="O71" s="2"/>
      <c r="P71" s="2"/>
      <c r="Q71" s="2"/>
      <c r="R71" s="2"/>
      <c r="S71" s="2"/>
      <c r="T71" s="2"/>
      <c r="U71" s="2"/>
    </row>
    <row r="72" spans="1:21" ht="13.9" x14ac:dyDescent="0.4">
      <c r="A72" s="8">
        <v>55137</v>
      </c>
      <c r="B72" s="8"/>
      <c r="C72" s="5">
        <f>'Series Detail'!R74-'Series Detail'!Y74</f>
        <v>25645714.300000001</v>
      </c>
      <c r="D72" s="5"/>
      <c r="E72" s="5">
        <f>'Series Detail'!S74-'Series Detail'!AA74</f>
        <v>12168750</v>
      </c>
      <c r="F72" s="5"/>
      <c r="G72" s="5">
        <f>'Series Detail'!T74-'Series Detail'!AB74</f>
        <v>170938578.30000001</v>
      </c>
      <c r="H72" s="5"/>
      <c r="I72" s="5">
        <f>'Series Detail'!U74-'Series Detail'!AC74</f>
        <v>0</v>
      </c>
      <c r="J72" s="5"/>
      <c r="K72" s="5">
        <f t="shared" si="0"/>
        <v>208753042.60000002</v>
      </c>
      <c r="L72" s="5"/>
      <c r="M72" s="4"/>
      <c r="N72" s="2"/>
      <c r="O72" s="2"/>
      <c r="P72" s="2"/>
      <c r="Q72" s="2"/>
      <c r="R72" s="2"/>
      <c r="S72" s="2"/>
      <c r="T72" s="2"/>
      <c r="U72" s="2"/>
    </row>
    <row r="73" spans="1:21" ht="13.9" x14ac:dyDescent="0.4">
      <c r="A73" s="8">
        <v>55319</v>
      </c>
      <c r="B73" s="8"/>
      <c r="C73" s="5">
        <f>'Series Detail'!R75-'Series Detail'!Y75</f>
        <v>15218139.35</v>
      </c>
      <c r="D73" s="5"/>
      <c r="E73" s="5">
        <f>'Series Detail'!S75-'Series Detail'!AA75</f>
        <v>12088875</v>
      </c>
      <c r="F73" s="5"/>
      <c r="G73" s="5">
        <f>'Series Detail'!T75-'Series Detail'!AB75</f>
        <v>111183089.55</v>
      </c>
      <c r="H73" s="5"/>
      <c r="I73" s="5">
        <f>'Series Detail'!U75-'Series Detail'!AC75</f>
        <v>0</v>
      </c>
      <c r="J73" s="5"/>
      <c r="K73" s="5">
        <f t="shared" si="0"/>
        <v>138490103.90000001</v>
      </c>
      <c r="L73" s="5"/>
      <c r="M73" s="5">
        <f>+K72+K73</f>
        <v>347243146.5</v>
      </c>
      <c r="N73" s="2"/>
      <c r="O73" s="2"/>
      <c r="P73" s="2"/>
      <c r="Q73" s="2"/>
      <c r="R73" s="2"/>
      <c r="S73" s="2"/>
      <c r="T73" s="2"/>
      <c r="U73" s="2"/>
    </row>
    <row r="74" spans="1:21" ht="13.9" x14ac:dyDescent="0.4">
      <c r="A74" s="8">
        <v>55502</v>
      </c>
      <c r="B74" s="8"/>
      <c r="C74" s="5">
        <f>'Series Detail'!R76-'Series Detail'!Y76</f>
        <v>46433118.25</v>
      </c>
      <c r="D74" s="5"/>
      <c r="E74" s="5">
        <f>'Series Detail'!S76-'Series Detail'!AA76</f>
        <v>12055125</v>
      </c>
      <c r="F74" s="5"/>
      <c r="G74" s="5">
        <f>'Series Detail'!T76-'Series Detail'!AB76</f>
        <v>150258121.25</v>
      </c>
      <c r="H74" s="5"/>
      <c r="I74" s="5">
        <f>'Series Detail'!U76-'Series Detail'!AC76</f>
        <v>0</v>
      </c>
      <c r="J74" s="5"/>
      <c r="K74" s="5">
        <f t="shared" si="0"/>
        <v>208746364.5</v>
      </c>
      <c r="L74" s="5"/>
      <c r="M74" s="4"/>
      <c r="N74" s="2"/>
      <c r="O74" s="2"/>
      <c r="P74" s="2"/>
      <c r="Q74" s="2"/>
      <c r="R74" s="2"/>
      <c r="S74" s="2"/>
      <c r="T74" s="2"/>
      <c r="U74" s="2"/>
    </row>
    <row r="75" spans="1:21" ht="13.9" x14ac:dyDescent="0.4">
      <c r="A75" s="8">
        <v>55685</v>
      </c>
      <c r="B75" s="8"/>
      <c r="C75" s="5">
        <f>'Series Detail'!R77-'Series Detail'!Y77</f>
        <v>127140000</v>
      </c>
      <c r="D75" s="5"/>
      <c r="E75" s="5">
        <f>'Series Detail'!S77-'Series Detail'!AA77</f>
        <v>11354250</v>
      </c>
      <c r="F75" s="5"/>
      <c r="G75" s="5">
        <f>'Series Detail'!T77-'Series Detail'!AB77</f>
        <v>0</v>
      </c>
      <c r="H75" s="5"/>
      <c r="I75" s="5">
        <f>'Series Detail'!U77-'Series Detail'!AC77</f>
        <v>0</v>
      </c>
      <c r="J75" s="5"/>
      <c r="K75" s="5">
        <f t="shared" ref="K75:K91" si="1">SUM(C75:J75)</f>
        <v>138494250</v>
      </c>
      <c r="L75" s="5"/>
      <c r="M75" s="5">
        <f>+K74+K75</f>
        <v>347240614.5</v>
      </c>
      <c r="N75" s="2"/>
      <c r="O75" s="2"/>
      <c r="P75" s="2"/>
      <c r="Q75" s="2"/>
      <c r="R75" s="2"/>
      <c r="S75" s="2"/>
      <c r="T75" s="2"/>
      <c r="U75" s="2"/>
    </row>
    <row r="76" spans="1:21" ht="13.9" x14ac:dyDescent="0.4">
      <c r="A76" s="8">
        <v>55868</v>
      </c>
      <c r="B76" s="8"/>
      <c r="C76" s="5">
        <f>'Series Detail'!R78-'Series Detail'!Y78</f>
        <v>24777137.699999999</v>
      </c>
      <c r="D76" s="5"/>
      <c r="E76" s="5">
        <f>'Series Detail'!S78-'Series Detail'!AA78</f>
        <v>8175750</v>
      </c>
      <c r="F76" s="5"/>
      <c r="G76" s="5">
        <f>'Series Detail'!T78-'Series Detail'!AB78</f>
        <v>176794160.5</v>
      </c>
      <c r="H76" s="5"/>
      <c r="I76" s="5">
        <f>'Series Detail'!U78-'Series Detail'!AC78</f>
        <v>0</v>
      </c>
      <c r="J76" s="5"/>
      <c r="K76" s="5">
        <f t="shared" si="1"/>
        <v>209747048.19999999</v>
      </c>
      <c r="L76" s="5"/>
      <c r="M76" s="4"/>
      <c r="N76" s="2"/>
      <c r="O76" s="2"/>
      <c r="P76" s="2"/>
      <c r="Q76" s="2"/>
      <c r="R76" s="2"/>
      <c r="S76" s="2"/>
      <c r="T76" s="2"/>
      <c r="U76" s="2"/>
    </row>
    <row r="77" spans="1:21" ht="13.9" x14ac:dyDescent="0.4">
      <c r="A77" s="8">
        <v>56050</v>
      </c>
      <c r="B77" s="8"/>
      <c r="C77" s="5">
        <f>'Series Detail'!R79-'Series Detail'!Y79</f>
        <v>129335000</v>
      </c>
      <c r="D77" s="5"/>
      <c r="E77" s="5">
        <f>'Series Detail'!S79-'Series Detail'!AA79</f>
        <v>8158500</v>
      </c>
      <c r="F77" s="5"/>
      <c r="G77" s="5">
        <f>'Series Detail'!T79-'Series Detail'!AB79</f>
        <v>0</v>
      </c>
      <c r="H77" s="5"/>
      <c r="I77" s="5">
        <f>'Series Detail'!U79-'Series Detail'!AC79</f>
        <v>0</v>
      </c>
      <c r="J77" s="5"/>
      <c r="K77" s="5">
        <f t="shared" si="1"/>
        <v>137493500</v>
      </c>
      <c r="L77" s="5"/>
      <c r="M77" s="5">
        <f>+K76+K77</f>
        <v>347240548.19999999</v>
      </c>
      <c r="N77" s="2"/>
      <c r="O77" s="2"/>
      <c r="P77" s="2"/>
      <c r="Q77" s="2"/>
      <c r="R77" s="2"/>
      <c r="S77" s="2"/>
      <c r="T77" s="2"/>
      <c r="U77" s="2"/>
    </row>
    <row r="78" spans="1:21" ht="13.9" x14ac:dyDescent="0.4">
      <c r="A78" s="8">
        <v>56233</v>
      </c>
      <c r="B78" s="8"/>
      <c r="C78" s="5">
        <f>'Series Detail'!R80-'Series Detail'!Y80</f>
        <v>32548480.649999999</v>
      </c>
      <c r="D78" s="5"/>
      <c r="E78" s="5">
        <f>'Series Detail'!S80-'Series Detail'!AA80</f>
        <v>4750125</v>
      </c>
      <c r="F78" s="5"/>
      <c r="G78" s="5">
        <f>'Series Detail'!T80-'Series Detail'!AB80</f>
        <v>177986684.5</v>
      </c>
      <c r="H78" s="5"/>
      <c r="I78" s="5">
        <f>'Series Detail'!U80-'Series Detail'!AC80</f>
        <v>0</v>
      </c>
      <c r="J78" s="5"/>
      <c r="K78" s="5">
        <f t="shared" si="1"/>
        <v>215285290.15000001</v>
      </c>
      <c r="L78" s="5"/>
      <c r="M78" s="4"/>
      <c r="N78" s="2"/>
      <c r="O78" s="2"/>
      <c r="P78" s="2"/>
      <c r="Q78" s="2"/>
      <c r="R78" s="2"/>
      <c r="S78" s="2"/>
      <c r="T78" s="2"/>
      <c r="U78" s="2"/>
    </row>
    <row r="79" spans="1:21" ht="13.9" x14ac:dyDescent="0.4">
      <c r="A79" s="8">
        <v>56415</v>
      </c>
      <c r="B79" s="8"/>
      <c r="C79" s="5">
        <f>'Series Detail'!R81-'Series Detail'!Y81</f>
        <v>36149432</v>
      </c>
      <c r="D79" s="5"/>
      <c r="E79" s="5">
        <f>'Series Detail'!S81-'Series Detail'!AA81</f>
        <v>4750125</v>
      </c>
      <c r="F79" s="5"/>
      <c r="G79" s="5">
        <f>'Series Detail'!T81-'Series Detail'!AB81</f>
        <v>91058660</v>
      </c>
      <c r="H79" s="5"/>
      <c r="I79" s="5">
        <f>'Series Detail'!U81-'Series Detail'!AC81</f>
        <v>0</v>
      </c>
      <c r="J79" s="5"/>
      <c r="K79" s="5">
        <f t="shared" si="1"/>
        <v>131958217</v>
      </c>
      <c r="L79" s="5"/>
      <c r="M79" s="5">
        <f>+K78+K79</f>
        <v>347243507.14999998</v>
      </c>
      <c r="N79" s="2"/>
      <c r="O79" s="2"/>
      <c r="P79" s="2"/>
      <c r="Q79" s="2"/>
      <c r="R79" s="2"/>
      <c r="S79" s="2"/>
      <c r="T79" s="2"/>
      <c r="U79" s="2"/>
    </row>
    <row r="80" spans="1:21" ht="13.9" x14ac:dyDescent="0.4">
      <c r="A80" s="8">
        <v>56598</v>
      </c>
      <c r="B80" s="8"/>
      <c r="C80" s="5">
        <f>'Series Detail'!R82-'Series Detail'!Y82</f>
        <v>30978571.5</v>
      </c>
      <c r="D80" s="5"/>
      <c r="E80" s="5">
        <f>'Series Detail'!S82-'Series Detail'!AA82</f>
        <v>4250125</v>
      </c>
      <c r="F80" s="5"/>
      <c r="G80" s="5">
        <f>'Series Detail'!T82-'Series Detail'!AB82</f>
        <v>180062062</v>
      </c>
      <c r="H80" s="5"/>
      <c r="I80" s="5">
        <f>'Series Detail'!U82-'Series Detail'!AC82</f>
        <v>0</v>
      </c>
      <c r="J80" s="5"/>
      <c r="K80" s="5">
        <f t="shared" si="1"/>
        <v>215290758.5</v>
      </c>
      <c r="L80" s="5"/>
      <c r="M80" s="4"/>
      <c r="N80" s="2"/>
      <c r="O80" s="2"/>
      <c r="P80" s="2"/>
      <c r="Q80" s="2"/>
      <c r="R80" s="2"/>
      <c r="S80" s="2"/>
      <c r="T80" s="2"/>
      <c r="U80" s="2"/>
    </row>
    <row r="81" spans="1:21" ht="13.9" x14ac:dyDescent="0.4">
      <c r="A81" s="8">
        <v>56780</v>
      </c>
      <c r="B81" s="8"/>
      <c r="C81" s="5">
        <f>'Series Detail'!R83-'Series Detail'!Y83</f>
        <v>35404535.299999997</v>
      </c>
      <c r="D81" s="5"/>
      <c r="E81" s="5">
        <f>'Series Detail'!S83-'Series Detail'!AA83</f>
        <v>4250125</v>
      </c>
      <c r="F81" s="5"/>
      <c r="G81" s="5">
        <f>'Series Detail'!T83-'Series Detail'!AB83</f>
        <v>92299160.799999997</v>
      </c>
      <c r="H81" s="5"/>
      <c r="I81" s="5">
        <f>'Series Detail'!U83-'Series Detail'!AC83</f>
        <v>0</v>
      </c>
      <c r="J81" s="5"/>
      <c r="K81" s="5">
        <f t="shared" si="1"/>
        <v>131953821.09999999</v>
      </c>
      <c r="L81" s="5"/>
      <c r="M81" s="5">
        <f>+K80+K81</f>
        <v>347244579.60000002</v>
      </c>
      <c r="N81" s="2"/>
      <c r="O81" s="2"/>
      <c r="P81" s="2"/>
      <c r="Q81" s="2"/>
      <c r="R81" s="2"/>
      <c r="S81" s="2"/>
      <c r="T81" s="2"/>
      <c r="U81" s="2"/>
    </row>
    <row r="82" spans="1:21" ht="13.9" x14ac:dyDescent="0.4">
      <c r="A82" s="8">
        <v>56963</v>
      </c>
      <c r="B82" s="8"/>
      <c r="C82" s="5">
        <f>'Series Detail'!R84-'Series Detail'!Y84</f>
        <v>42944037.049999997</v>
      </c>
      <c r="D82" s="5"/>
      <c r="E82" s="5">
        <f>'Series Detail'!S84-'Series Detail'!AA84</f>
        <v>3750125</v>
      </c>
      <c r="F82" s="5"/>
      <c r="G82" s="5">
        <f>'Series Detail'!T84-'Series Detail'!AB84</f>
        <v>141683286.59999999</v>
      </c>
      <c r="H82" s="5"/>
      <c r="I82" s="5">
        <f>'Series Detail'!U84-'Series Detail'!AC84</f>
        <v>0</v>
      </c>
      <c r="J82" s="5"/>
      <c r="K82" s="5">
        <f t="shared" si="1"/>
        <v>188377448.64999998</v>
      </c>
      <c r="L82" s="5"/>
      <c r="M82" s="4"/>
      <c r="N82" s="2"/>
      <c r="O82" s="2"/>
      <c r="P82" s="2"/>
      <c r="Q82" s="2"/>
      <c r="R82" s="2"/>
      <c r="S82" s="2"/>
      <c r="T82" s="2"/>
      <c r="U82" s="2"/>
    </row>
    <row r="83" spans="1:21" ht="13.9" x14ac:dyDescent="0.4">
      <c r="A83" s="8">
        <v>57146</v>
      </c>
      <c r="B83" s="8"/>
      <c r="C83" s="5">
        <f>'Series Detail'!R85-'Series Detail'!Y85</f>
        <v>26618429.75</v>
      </c>
      <c r="D83" s="5"/>
      <c r="E83" s="5">
        <f>'Series Detail'!S85-'Series Detail'!AA85</f>
        <v>3250125</v>
      </c>
      <c r="F83" s="5"/>
      <c r="G83" s="5">
        <f>'Series Detail'!T85-'Series Detail'!AB85</f>
        <v>128994700</v>
      </c>
      <c r="H83" s="5"/>
      <c r="I83" s="5">
        <f>'Series Detail'!U85-'Series Detail'!AC85</f>
        <v>0</v>
      </c>
      <c r="J83" s="5"/>
      <c r="K83" s="5">
        <f t="shared" si="1"/>
        <v>158863254.75</v>
      </c>
      <c r="L83" s="5"/>
      <c r="M83" s="5">
        <f>+K82+K83</f>
        <v>347240703.39999998</v>
      </c>
      <c r="N83" s="2"/>
      <c r="O83" s="2"/>
      <c r="P83" s="2"/>
      <c r="Q83" s="2"/>
      <c r="R83" s="2"/>
      <c r="S83" s="2"/>
      <c r="T83" s="2"/>
      <c r="U83" s="2"/>
    </row>
    <row r="84" spans="1:21" ht="13.9" x14ac:dyDescent="0.4">
      <c r="A84" s="8">
        <v>57329</v>
      </c>
      <c r="B84" s="8"/>
      <c r="C84" s="5">
        <f>'Series Detail'!R86-'Series Detail'!Y86</f>
        <v>36621670.25</v>
      </c>
      <c r="D84" s="5"/>
      <c r="E84" s="5">
        <f>'Series Detail'!S86-'Series Detail'!AA86</f>
        <v>3250125</v>
      </c>
      <c r="F84" s="5"/>
      <c r="G84" s="5">
        <f>'Series Detail'!T86-'Series Detail'!AB86</f>
        <v>175418329.75</v>
      </c>
      <c r="H84" s="5"/>
      <c r="I84" s="5">
        <f>'Series Detail'!U86-'Series Detail'!AC86</f>
        <v>0</v>
      </c>
      <c r="J84" s="5"/>
      <c r="K84" s="5">
        <f t="shared" si="1"/>
        <v>215290125</v>
      </c>
      <c r="L84" s="5"/>
      <c r="M84" s="4"/>
      <c r="N84" s="2"/>
      <c r="O84" s="2"/>
      <c r="P84" s="2"/>
      <c r="Q84" s="2"/>
      <c r="R84" s="2"/>
      <c r="S84" s="2"/>
      <c r="T84" s="2"/>
      <c r="U84" s="2"/>
    </row>
    <row r="85" spans="1:21" ht="13.9" x14ac:dyDescent="0.4">
      <c r="A85" s="8">
        <v>57511</v>
      </c>
      <c r="B85" s="8"/>
      <c r="C85" s="5">
        <f>'Series Detail'!R87-'Series Detail'!Y87</f>
        <v>128740000</v>
      </c>
      <c r="D85" s="5"/>
      <c r="E85" s="5">
        <f>'Series Detail'!S87-'Series Detail'!AA87</f>
        <v>3218500</v>
      </c>
      <c r="F85" s="5"/>
      <c r="G85" s="5">
        <f>'Series Detail'!T87-'Series Detail'!AB87</f>
        <v>0</v>
      </c>
      <c r="H85" s="5"/>
      <c r="I85" s="5">
        <f>'Series Detail'!U87-'Series Detail'!AC87</f>
        <v>0</v>
      </c>
      <c r="J85" s="5"/>
      <c r="K85" s="5">
        <f t="shared" si="1"/>
        <v>131958500</v>
      </c>
      <c r="L85" s="5"/>
      <c r="M85" s="5">
        <f>+K84+K85</f>
        <v>347248625</v>
      </c>
      <c r="N85" s="2"/>
      <c r="O85" s="2"/>
      <c r="P85" s="2"/>
      <c r="Q85" s="2"/>
      <c r="R85" s="2"/>
      <c r="S85" s="2"/>
      <c r="T85" s="2"/>
      <c r="U85" s="2"/>
    </row>
    <row r="86" spans="1:21" ht="13.9" x14ac:dyDescent="0.4">
      <c r="A86" s="8">
        <v>57694</v>
      </c>
      <c r="B86" s="8"/>
      <c r="C86" s="5">
        <f>'Series Detail'!R88-'Series Detail'!Y88</f>
        <v>0</v>
      </c>
      <c r="D86" s="5"/>
      <c r="E86" s="5">
        <f>'Series Detail'!S88-'Series Detail'!AA88</f>
        <v>0</v>
      </c>
      <c r="F86" s="5"/>
      <c r="G86" s="5">
        <f>'Series Detail'!T88-'Series Detail'!AB88</f>
        <v>0</v>
      </c>
      <c r="H86" s="5"/>
      <c r="I86" s="5">
        <f>'Series Detail'!U88-'Series Detail'!AC88</f>
        <v>0</v>
      </c>
      <c r="J86" s="5"/>
      <c r="K86" s="5">
        <f t="shared" si="1"/>
        <v>0</v>
      </c>
      <c r="L86" s="5"/>
      <c r="M86" s="4"/>
      <c r="N86" s="2"/>
      <c r="O86" s="2"/>
      <c r="P86" s="2"/>
      <c r="Q86" s="2"/>
      <c r="R86" s="2"/>
      <c r="S86" s="2"/>
      <c r="T86" s="2"/>
      <c r="U86" s="2"/>
    </row>
    <row r="87" spans="1:21" ht="13.9" x14ac:dyDescent="0.4">
      <c r="A87" s="8">
        <v>57876</v>
      </c>
      <c r="B87" s="8"/>
      <c r="C87" s="5">
        <f>'Series Detail'!R89-'Series Detail'!Y89</f>
        <v>0</v>
      </c>
      <c r="D87" s="5"/>
      <c r="E87" s="5">
        <f>'Series Detail'!S89-'Series Detail'!AA89</f>
        <v>0</v>
      </c>
      <c r="F87" s="5"/>
      <c r="G87" s="5">
        <f>'Series Detail'!T89-'Series Detail'!AB89</f>
        <v>0</v>
      </c>
      <c r="H87" s="5"/>
      <c r="I87" s="5">
        <f>'Series Detail'!U89-'Series Detail'!AC89</f>
        <v>0</v>
      </c>
      <c r="J87" s="5"/>
      <c r="K87" s="5">
        <f t="shared" si="1"/>
        <v>0</v>
      </c>
      <c r="L87" s="5"/>
      <c r="M87" s="5">
        <f>+K86+K87</f>
        <v>0</v>
      </c>
      <c r="N87" s="2"/>
      <c r="O87" s="2"/>
      <c r="P87" s="2"/>
      <c r="Q87" s="2"/>
      <c r="R87" s="2"/>
      <c r="S87" s="2"/>
      <c r="T87" s="2"/>
      <c r="U87" s="2"/>
    </row>
    <row r="88" spans="1:21" ht="13.9" x14ac:dyDescent="0.4">
      <c r="A88" s="8">
        <v>58059</v>
      </c>
      <c r="B88" s="8"/>
      <c r="C88" s="5">
        <f>'Series Detail'!R90-'Series Detail'!Y90</f>
        <v>0</v>
      </c>
      <c r="D88" s="5"/>
      <c r="E88" s="5">
        <f>'Series Detail'!S90-'Series Detail'!AA90</f>
        <v>0</v>
      </c>
      <c r="F88" s="5"/>
      <c r="G88" s="5">
        <f>'Series Detail'!T90-'Series Detail'!AB90</f>
        <v>0</v>
      </c>
      <c r="H88" s="5"/>
      <c r="I88" s="5">
        <f>'Series Detail'!U90-'Series Detail'!AC90</f>
        <v>0</v>
      </c>
      <c r="J88" s="5"/>
      <c r="K88" s="5">
        <f t="shared" si="1"/>
        <v>0</v>
      </c>
      <c r="L88" s="5"/>
      <c r="M88" s="4"/>
      <c r="N88" s="2"/>
      <c r="O88" s="2"/>
      <c r="P88" s="2"/>
      <c r="Q88" s="2"/>
      <c r="R88" s="2"/>
      <c r="S88" s="2"/>
      <c r="T88" s="2"/>
      <c r="U88" s="2"/>
    </row>
    <row r="89" spans="1:21" ht="13.9" x14ac:dyDescent="0.4">
      <c r="A89" s="8">
        <v>58241</v>
      </c>
      <c r="B89" s="8"/>
      <c r="C89" s="5">
        <f>'Series Detail'!R91-'Series Detail'!Y91</f>
        <v>0</v>
      </c>
      <c r="D89" s="5"/>
      <c r="E89" s="5">
        <f>'Series Detail'!S91-'Series Detail'!AA91</f>
        <v>0</v>
      </c>
      <c r="F89" s="5"/>
      <c r="G89" s="5">
        <f>'Series Detail'!T91-'Series Detail'!AB91</f>
        <v>0</v>
      </c>
      <c r="H89" s="5"/>
      <c r="I89" s="5">
        <f>'Series Detail'!U91-'Series Detail'!AC91</f>
        <v>0</v>
      </c>
      <c r="J89" s="5"/>
      <c r="K89" s="5">
        <f t="shared" si="1"/>
        <v>0</v>
      </c>
      <c r="L89" s="5"/>
      <c r="M89" s="5">
        <f>+K88+K89</f>
        <v>0</v>
      </c>
      <c r="N89" s="2"/>
      <c r="O89" s="2"/>
      <c r="P89" s="2"/>
      <c r="Q89" s="2"/>
      <c r="R89" s="2"/>
      <c r="S89" s="2"/>
      <c r="T89" s="2"/>
      <c r="U89" s="2"/>
    </row>
    <row r="90" spans="1:21" ht="13.9" x14ac:dyDescent="0.4">
      <c r="A90" s="8">
        <v>58424</v>
      </c>
      <c r="B90" s="8"/>
      <c r="C90" s="5">
        <f>'Series Detail'!R92-'Series Detail'!Y92</f>
        <v>0</v>
      </c>
      <c r="D90" s="5"/>
      <c r="E90" s="5">
        <f>'Series Detail'!S92-'Series Detail'!AA92</f>
        <v>0</v>
      </c>
      <c r="F90" s="5"/>
      <c r="G90" s="5">
        <f>'Series Detail'!T92-'Series Detail'!AB92</f>
        <v>0</v>
      </c>
      <c r="H90" s="5"/>
      <c r="I90" s="5">
        <f>'Series Detail'!U92-'Series Detail'!AC92</f>
        <v>0</v>
      </c>
      <c r="J90" s="5"/>
      <c r="K90" s="5">
        <f t="shared" si="1"/>
        <v>0</v>
      </c>
      <c r="L90" s="5"/>
      <c r="M90" s="4"/>
      <c r="N90" s="2"/>
      <c r="O90" s="2"/>
      <c r="P90" s="2"/>
      <c r="Q90" s="2"/>
      <c r="R90" s="2"/>
      <c r="S90" s="2"/>
      <c r="T90" s="2"/>
      <c r="U90" s="2"/>
    </row>
    <row r="91" spans="1:21" ht="13.9" x14ac:dyDescent="0.4">
      <c r="A91" s="8">
        <v>58607</v>
      </c>
      <c r="B91" s="8"/>
      <c r="C91" s="5">
        <f>'Series Detail'!R93-'Series Detail'!Y93</f>
        <v>0</v>
      </c>
      <c r="D91" s="5"/>
      <c r="E91" s="5">
        <f>'Series Detail'!S93-'Series Detail'!AA93</f>
        <v>0</v>
      </c>
      <c r="F91" s="5"/>
      <c r="G91" s="5">
        <f>'Series Detail'!T93-'Series Detail'!AB93</f>
        <v>0</v>
      </c>
      <c r="H91" s="5"/>
      <c r="I91" s="5">
        <f>'Series Detail'!U93-'Series Detail'!AC93</f>
        <v>0</v>
      </c>
      <c r="J91" s="5"/>
      <c r="K91" s="5">
        <f t="shared" si="1"/>
        <v>0</v>
      </c>
      <c r="L91" s="5"/>
      <c r="M91" s="5">
        <f>+K90+K91</f>
        <v>0</v>
      </c>
      <c r="N91" s="2"/>
      <c r="O91" s="2"/>
      <c r="P91" s="2"/>
      <c r="Q91" s="2"/>
      <c r="R91" s="2"/>
      <c r="S91" s="2"/>
      <c r="T91" s="2"/>
      <c r="U91" s="2"/>
    </row>
    <row r="92" spans="1:21" ht="13.9" x14ac:dyDescent="0.4">
      <c r="A92" s="8"/>
      <c r="B92" s="8"/>
      <c r="C92" s="13"/>
      <c r="D92" s="4"/>
      <c r="E92" s="13"/>
      <c r="F92" s="4"/>
      <c r="G92" s="13"/>
      <c r="H92" s="4"/>
      <c r="I92" s="13"/>
      <c r="J92" s="4"/>
      <c r="K92" s="13"/>
      <c r="L92" s="4"/>
      <c r="M92" s="13"/>
    </row>
    <row r="93" spans="1:21" ht="14.25" thickBot="1" x14ac:dyDescent="0.45">
      <c r="A93" s="8" t="s">
        <v>44</v>
      </c>
      <c r="B93" s="8"/>
      <c r="C93" s="49">
        <f>SUM(C10:C92)</f>
        <v>2923184555.1000004</v>
      </c>
      <c r="D93" s="5"/>
      <c r="E93" s="49">
        <f>SUM(E10:E92)</f>
        <v>2738893731.25</v>
      </c>
      <c r="F93" s="5"/>
      <c r="G93" s="49">
        <f>SUM(G10:G92)</f>
        <v>6718410134.0000029</v>
      </c>
      <c r="H93" s="5"/>
      <c r="I93" s="49">
        <f>SUM(I10:I92)</f>
        <v>0</v>
      </c>
      <c r="J93" s="5"/>
      <c r="K93" s="49">
        <f>SUM(K10:K92)</f>
        <v>12380488420.35</v>
      </c>
      <c r="L93" s="5"/>
      <c r="M93" s="49">
        <f>SUM(M10:M92)</f>
        <v>12380488420.35</v>
      </c>
    </row>
    <row r="94" spans="1:21" ht="14.25" thickTop="1" x14ac:dyDescent="0.4">
      <c r="A94" s="8"/>
      <c r="B94" s="8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21" ht="13.9" x14ac:dyDescent="0.4">
      <c r="A95" s="8"/>
      <c r="B95" s="8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21" ht="13.9" x14ac:dyDescent="0.4">
      <c r="A96" s="179">
        <f ca="1">'2019A'!A56</f>
        <v>43866.674479745372</v>
      </c>
      <c r="B96" s="8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ht="13.9" x14ac:dyDescent="0.4">
      <c r="A97" s="8"/>
      <c r="B97" s="8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9" spans="1:13" x14ac:dyDescent="0.35">
      <c r="A99" s="3" t="s">
        <v>49</v>
      </c>
    </row>
    <row r="100" spans="1:13" x14ac:dyDescent="0.35">
      <c r="A100" s="3" t="s">
        <v>3</v>
      </c>
      <c r="C100" s="2">
        <f>'Series Detail'!Y95</f>
        <v>55948926.100000001</v>
      </c>
      <c r="E100" s="2">
        <f>'Series Detail'!AA95</f>
        <v>16916313.02</v>
      </c>
      <c r="G100" s="2">
        <f>'Series Detail'!AB95</f>
        <v>7271073.8999999985</v>
      </c>
      <c r="K100" s="2">
        <f>'Series Detail'!AD95</f>
        <v>80136313.019999996</v>
      </c>
    </row>
    <row r="101" spans="1:13" x14ac:dyDescent="0.35">
      <c r="A101" s="3" t="s">
        <v>50</v>
      </c>
      <c r="C101" s="119">
        <f>'Total Debt'!C93</f>
        <v>2979133481.1999998</v>
      </c>
      <c r="E101" s="119">
        <f>'Total Debt'!E93</f>
        <v>2755810044.27</v>
      </c>
      <c r="G101" s="119">
        <f>'Total Debt'!G93</f>
        <v>6725681207.9000025</v>
      </c>
      <c r="I101" s="119">
        <f>'Total Debt'!I93</f>
        <v>0</v>
      </c>
      <c r="K101" s="119">
        <f>'Total Debt'!K93</f>
        <v>12460624733.370001</v>
      </c>
      <c r="M101" s="2">
        <f>'Total Debt'!M93</f>
        <v>12460624733.370001</v>
      </c>
    </row>
    <row r="102" spans="1:13" x14ac:dyDescent="0.35">
      <c r="A102" s="3" t="s">
        <v>51</v>
      </c>
      <c r="C102" s="2">
        <f>C93+C100-C101</f>
        <v>0</v>
      </c>
      <c r="E102" s="2">
        <f>E93+E100-E101</f>
        <v>0</v>
      </c>
      <c r="G102" s="2">
        <f>G93+G100-G101</f>
        <v>0</v>
      </c>
      <c r="I102" s="2">
        <f>I93+I100-I101</f>
        <v>0</v>
      </c>
      <c r="K102" s="2">
        <f>K93+K100-K101</f>
        <v>0</v>
      </c>
    </row>
  </sheetData>
  <pageMargins left="0.75" right="0.75" top="0.75" bottom="0.75" header="0.3" footer="0.3"/>
  <pageSetup scale="68" fitToHeight="0" orientation="portrait" r:id="rId1"/>
  <rowBreaks count="1" manualBreakCount="1">
    <brk id="74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/>
  <dimension ref="A1:ET141"/>
  <sheetViews>
    <sheetView zoomScaleNormal="100" workbookViewId="0">
      <selection activeCell="D39" sqref="D39"/>
    </sheetView>
  </sheetViews>
  <sheetFormatPr defaultColWidth="10.6640625" defaultRowHeight="13.15" x14ac:dyDescent="0.4"/>
  <cols>
    <col min="1" max="1" width="5.1640625" style="117" customWidth="1"/>
    <col min="2" max="2" width="13.83203125" style="39" customWidth="1"/>
    <col min="3" max="3" width="20.5" style="39" bestFit="1" customWidth="1"/>
    <col min="4" max="4" width="17.1640625" style="39" customWidth="1"/>
    <col min="5" max="5" width="6.58203125" style="39" customWidth="1"/>
    <col min="6" max="6" width="15.1640625" style="39" customWidth="1"/>
    <col min="7" max="7" width="2.83203125" style="39" customWidth="1"/>
    <col min="8" max="8" width="16.5" style="39" customWidth="1"/>
    <col min="9" max="11" width="19" style="39" bestFit="1" customWidth="1"/>
    <col min="12" max="12" width="17.1640625" style="39" customWidth="1"/>
    <col min="13" max="13" width="20.5" style="39" bestFit="1" customWidth="1"/>
    <col min="14" max="14" width="6.58203125" style="39" customWidth="1"/>
    <col min="15" max="15" width="15.1640625" style="39" customWidth="1"/>
    <col min="16" max="16" width="2.83203125" style="39" customWidth="1"/>
    <col min="17" max="17" width="16.5" style="39" customWidth="1"/>
    <col min="18" max="20" width="19" style="39" bestFit="1" customWidth="1"/>
    <col min="21" max="21" width="17.1640625" style="39" customWidth="1"/>
    <col min="22" max="22" width="20.5" style="39" bestFit="1" customWidth="1"/>
    <col min="23" max="23" width="4.83203125" style="39" customWidth="1"/>
    <col min="24" max="24" width="17" style="39" customWidth="1"/>
    <col min="25" max="25" width="17.33203125" style="39" bestFit="1" customWidth="1"/>
    <col min="26" max="26" width="10" style="39" customWidth="1"/>
    <col min="27" max="28" width="17.33203125" style="39" bestFit="1" customWidth="1"/>
    <col min="29" max="29" width="17.33203125" style="39" customWidth="1"/>
    <col min="30" max="30" width="19.1640625" style="39" bestFit="1" customWidth="1"/>
    <col min="31" max="31" width="4.83203125" style="39" customWidth="1"/>
    <col min="32" max="32" width="17" style="39" customWidth="1"/>
    <col min="33" max="33" width="17.33203125" style="39" bestFit="1" customWidth="1"/>
    <col min="34" max="34" width="13.1640625" style="39" customWidth="1"/>
    <col min="35" max="36" width="17.33203125" style="39" bestFit="1" customWidth="1"/>
    <col min="37" max="37" width="17.33203125" style="39" customWidth="1"/>
    <col min="38" max="38" width="19.1640625" style="39" bestFit="1" customWidth="1"/>
    <col min="39" max="39" width="4.83203125" style="39" customWidth="1"/>
    <col min="40" max="40" width="17" style="39" customWidth="1"/>
    <col min="41" max="41" width="17.33203125" style="39" bestFit="1" customWidth="1"/>
    <col min="42" max="42" width="12.1640625" style="101" customWidth="1"/>
    <col min="43" max="44" width="17.33203125" style="39" bestFit="1" customWidth="1"/>
    <col min="45" max="45" width="19.1640625" style="39" bestFit="1" customWidth="1"/>
    <col min="46" max="46" width="4.83203125" style="39" customWidth="1"/>
    <col min="47" max="47" width="17" style="39" customWidth="1"/>
    <col min="48" max="48" width="17.33203125" style="39" bestFit="1" customWidth="1"/>
    <col min="49" max="49" width="14.75" style="39" bestFit="1" customWidth="1"/>
    <col min="50" max="51" width="17.33203125" style="39" bestFit="1" customWidth="1"/>
    <col min="52" max="52" width="19.1640625" style="39" bestFit="1" customWidth="1"/>
    <col min="53" max="53" width="5.1640625" style="39" customWidth="1"/>
    <col min="54" max="54" width="18.1640625" style="39" customWidth="1"/>
    <col min="55" max="55" width="15.83203125" style="39" bestFit="1" customWidth="1"/>
    <col min="56" max="56" width="12.1640625" style="39" customWidth="1"/>
    <col min="57" max="57" width="16.1640625" style="39" customWidth="1"/>
    <col min="58" max="58" width="17.33203125" style="39" bestFit="1" customWidth="1"/>
    <col min="59" max="59" width="5.1640625" style="39" customWidth="1"/>
    <col min="60" max="60" width="18.1640625" style="39" customWidth="1"/>
    <col min="61" max="61" width="15.83203125" style="39" bestFit="1" customWidth="1"/>
    <col min="62" max="62" width="9.33203125" style="39" customWidth="1"/>
    <col min="63" max="63" width="16.1640625" style="39" customWidth="1"/>
    <col min="64" max="64" width="17.33203125" style="39" bestFit="1" customWidth="1"/>
    <col min="65" max="65" width="5.1640625" style="39" customWidth="1"/>
    <col min="66" max="66" width="17" style="39" customWidth="1"/>
    <col min="67" max="67" width="17.33203125" style="39" bestFit="1" customWidth="1"/>
    <col min="68" max="68" width="15.58203125" style="39" customWidth="1"/>
    <col min="69" max="70" width="17.33203125" style="39" bestFit="1" customWidth="1"/>
    <col min="71" max="71" width="19.1640625" style="39" bestFit="1" customWidth="1"/>
    <col min="72" max="72" width="5.1640625" style="39" customWidth="1"/>
    <col min="73" max="73" width="15.6640625" style="39" customWidth="1"/>
    <col min="74" max="74" width="15" style="39" customWidth="1"/>
    <col min="75" max="75" width="9.33203125" style="39" customWidth="1"/>
    <col min="76" max="76" width="11.83203125" style="39" customWidth="1"/>
    <col min="77" max="77" width="15" style="39" customWidth="1"/>
    <col min="78" max="78" width="5.1640625" style="39" customWidth="1"/>
    <col min="79" max="79" width="20.33203125" style="39" customWidth="1"/>
    <col min="80" max="80" width="17.33203125" style="39" bestFit="1" customWidth="1"/>
    <col min="81" max="81" width="24.75" style="39" bestFit="1" customWidth="1"/>
    <col min="82" max="84" width="19.1640625" style="39" bestFit="1" customWidth="1"/>
    <col min="85" max="85" width="5.1640625" style="39" customWidth="1"/>
    <col min="86" max="86" width="18.83203125" style="39" customWidth="1"/>
    <col min="87" max="87" width="17.1640625" style="39" customWidth="1"/>
    <col min="88" max="88" width="9.33203125" style="39" customWidth="1"/>
    <col min="89" max="89" width="18.33203125" style="39" customWidth="1"/>
    <col min="90" max="90" width="17.83203125" style="39" customWidth="1"/>
    <col min="91" max="91" width="4.83203125" style="39" customWidth="1"/>
    <col min="92" max="92" width="16.33203125" style="39" customWidth="1"/>
    <col min="93" max="93" width="17.33203125" style="39" bestFit="1" customWidth="1"/>
    <col min="94" max="94" width="9.33203125" style="39" hidden="1" customWidth="1"/>
    <col min="95" max="95" width="17" style="39" customWidth="1"/>
    <col min="96" max="97" width="19.1640625" style="39" bestFit="1" customWidth="1"/>
    <col min="98" max="98" width="4.83203125" style="39" customWidth="1"/>
    <col min="99" max="99" width="18.1640625" style="39" customWidth="1"/>
    <col min="100" max="100" width="16.1640625" style="39" customWidth="1"/>
    <col min="101" max="101" width="9.33203125" style="39" customWidth="1"/>
    <col min="102" max="102" width="17.1640625" style="39" customWidth="1"/>
    <col min="103" max="104" width="16.1640625" style="39" customWidth="1"/>
    <col min="105" max="105" width="10.6640625" style="39" customWidth="1"/>
    <col min="106" max="106" width="18.6640625" style="39" customWidth="1"/>
    <col min="107" max="107" width="15.83203125" style="39" bestFit="1" customWidth="1"/>
    <col min="108" max="108" width="9.33203125" style="39" customWidth="1"/>
    <col min="109" max="109" width="13.83203125" style="39" customWidth="1"/>
    <col min="110" max="110" width="15.83203125" style="39" bestFit="1" customWidth="1"/>
    <col min="111" max="111" width="4.83203125" style="39" customWidth="1"/>
    <col min="112" max="112" width="19.33203125" style="39" customWidth="1"/>
    <col min="113" max="113" width="15" style="39" customWidth="1"/>
    <col min="114" max="114" width="9.33203125" style="39" customWidth="1"/>
    <col min="115" max="115" width="15" style="39" customWidth="1"/>
    <col min="116" max="116" width="16.1640625" style="39" customWidth="1"/>
    <col min="117" max="117" width="4.83203125" style="39" customWidth="1"/>
    <col min="118" max="118" width="21.1640625" style="39" customWidth="1"/>
    <col min="119" max="119" width="16.6640625" style="39" customWidth="1"/>
    <col min="120" max="120" width="9.33203125" style="39" customWidth="1"/>
    <col min="121" max="121" width="18" style="39" customWidth="1"/>
    <col min="122" max="122" width="17.1640625" style="39" customWidth="1"/>
    <col min="123" max="123" width="4.83203125" style="39" customWidth="1"/>
    <col min="124" max="124" width="20.5" style="39" customWidth="1"/>
    <col min="125" max="125" width="16.5" style="39" customWidth="1"/>
    <col min="126" max="126" width="9.33203125" style="39" customWidth="1"/>
    <col min="127" max="127" width="9" style="39" customWidth="1"/>
    <col min="128" max="128" width="18.33203125" style="39" customWidth="1"/>
    <col min="129" max="129" width="19.33203125" style="39" customWidth="1"/>
    <col min="130" max="130" width="10.6640625" style="39" customWidth="1"/>
    <col min="131" max="131" width="20" style="39" customWidth="1"/>
    <col min="132" max="132" width="17.1640625" style="39" customWidth="1"/>
    <col min="133" max="133" width="9.33203125" style="39" customWidth="1"/>
    <col min="134" max="134" width="9" style="39" customWidth="1"/>
    <col min="135" max="135" width="19" style="39" customWidth="1"/>
    <col min="136" max="136" width="17.5" style="39" customWidth="1"/>
    <col min="137" max="137" width="4.83203125" style="39" customWidth="1"/>
    <col min="138" max="138" width="18" style="39" customWidth="1"/>
    <col min="139" max="139" width="16.6640625" style="39" customWidth="1"/>
    <col min="140" max="140" width="9.33203125" style="39" customWidth="1"/>
    <col min="141" max="141" width="9" style="39" customWidth="1"/>
    <col min="142" max="142" width="17" style="39" customWidth="1"/>
    <col min="143" max="143" width="17.1640625" style="39" customWidth="1"/>
    <col min="144" max="144" width="4.83203125" style="39" customWidth="1"/>
    <col min="145" max="145" width="19.1640625" style="39" customWidth="1"/>
    <col min="146" max="146" width="16.5" style="39" customWidth="1"/>
    <col min="147" max="147" width="9.33203125" style="39" customWidth="1"/>
    <col min="148" max="148" width="13.33203125" style="39" customWidth="1"/>
    <col min="149" max="150" width="18" style="39" customWidth="1"/>
    <col min="151" max="16384" width="10.6640625" style="39"/>
  </cols>
  <sheetData>
    <row r="1" spans="1:150" ht="13.5" thickBot="1" x14ac:dyDescent="0.45"/>
    <row r="2" spans="1:150" x14ac:dyDescent="0.4">
      <c r="B2" s="64"/>
      <c r="C2" s="65">
        <f>M95</f>
        <v>12460624733.370001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AE2" s="64"/>
      <c r="AM2" s="64"/>
      <c r="AT2" s="64"/>
      <c r="BA2" s="64"/>
      <c r="BB2" s="64"/>
      <c r="BC2" s="64"/>
      <c r="BE2" s="64"/>
      <c r="BF2" s="64"/>
      <c r="BG2" s="64"/>
      <c r="BH2" s="64"/>
      <c r="BI2" s="64"/>
      <c r="BJ2" s="64"/>
      <c r="BK2" s="64"/>
      <c r="BL2" s="64"/>
    </row>
    <row r="3" spans="1:150" ht="13.5" thickBot="1" x14ac:dyDescent="0.45">
      <c r="C3" s="66">
        <f>C2-'Total Debt'!M93</f>
        <v>0</v>
      </c>
    </row>
    <row r="4" spans="1:150" x14ac:dyDescent="0.4">
      <c r="CM4" s="67"/>
      <c r="CT4" s="67"/>
      <c r="DA4" s="67"/>
      <c r="DG4" s="67"/>
      <c r="DM4" s="67"/>
      <c r="DS4" s="67"/>
    </row>
    <row r="5" spans="1:150" x14ac:dyDescent="0.4">
      <c r="B5" s="68" t="s">
        <v>52</v>
      </c>
      <c r="C5" s="69"/>
      <c r="D5" s="69"/>
      <c r="F5" s="70"/>
      <c r="G5" s="70"/>
      <c r="H5" s="68" t="s">
        <v>52</v>
      </c>
      <c r="I5" s="69"/>
      <c r="J5" s="69"/>
      <c r="K5" s="69"/>
      <c r="L5" s="69"/>
      <c r="M5" s="69"/>
      <c r="O5" s="70"/>
      <c r="P5" s="70"/>
      <c r="Q5" s="68" t="s">
        <v>52</v>
      </c>
      <c r="R5" s="69"/>
      <c r="S5" s="69"/>
      <c r="T5" s="69"/>
      <c r="U5" s="69"/>
      <c r="V5" s="69"/>
      <c r="X5" s="68" t="s">
        <v>52</v>
      </c>
      <c r="Y5" s="69"/>
      <c r="Z5" s="69"/>
      <c r="AA5" s="69"/>
      <c r="AB5" s="69"/>
      <c r="AC5" s="69"/>
      <c r="AD5" s="69"/>
      <c r="AF5" s="68" t="s">
        <v>52</v>
      </c>
      <c r="AG5" s="69"/>
      <c r="AH5" s="69"/>
      <c r="AI5" s="69"/>
      <c r="AJ5" s="69"/>
      <c r="AK5" s="69"/>
      <c r="AL5" s="69"/>
      <c r="AN5" s="68" t="s">
        <v>52</v>
      </c>
      <c r="AO5" s="69"/>
      <c r="AP5" s="183"/>
      <c r="AQ5" s="69"/>
      <c r="AR5" s="69"/>
      <c r="AS5" s="69"/>
      <c r="AU5" s="68" t="s">
        <v>52</v>
      </c>
      <c r="AV5" s="69"/>
      <c r="AW5" s="69"/>
      <c r="AX5" s="69"/>
      <c r="AY5" s="69"/>
      <c r="AZ5" s="69"/>
      <c r="BB5" s="68" t="s">
        <v>52</v>
      </c>
      <c r="BC5" s="69"/>
      <c r="BD5" s="69"/>
      <c r="BE5" s="69"/>
      <c r="BF5" s="69"/>
      <c r="BH5" s="68" t="s">
        <v>52</v>
      </c>
      <c r="BI5" s="69"/>
      <c r="BJ5" s="69"/>
      <c r="BK5" s="69"/>
      <c r="BL5" s="69"/>
      <c r="BN5" s="68" t="s">
        <v>52</v>
      </c>
      <c r="BO5" s="69"/>
      <c r="BP5" s="69"/>
      <c r="BQ5" s="69"/>
      <c r="BR5" s="69"/>
      <c r="BS5" s="69"/>
      <c r="BU5" s="68" t="s">
        <v>52</v>
      </c>
      <c r="BV5" s="69"/>
      <c r="BW5" s="69"/>
      <c r="BX5" s="69"/>
      <c r="BY5" s="69"/>
      <c r="CA5" s="68" t="s">
        <v>52</v>
      </c>
      <c r="CB5" s="69"/>
      <c r="CC5" s="69"/>
      <c r="CD5" s="69"/>
      <c r="CE5" s="69"/>
      <c r="CF5" s="69"/>
      <c r="CH5" s="68" t="s">
        <v>52</v>
      </c>
      <c r="CI5" s="69"/>
      <c r="CJ5" s="69"/>
      <c r="CK5" s="69"/>
      <c r="CL5" s="69"/>
      <c r="CM5" s="67"/>
      <c r="CN5" s="68" t="s">
        <v>52</v>
      </c>
      <c r="CO5" s="69"/>
      <c r="CP5" s="69"/>
      <c r="CQ5" s="69"/>
      <c r="CR5" s="69"/>
      <c r="CS5" s="69"/>
      <c r="CT5" s="67"/>
      <c r="CU5" s="68" t="s">
        <v>52</v>
      </c>
      <c r="CV5" s="69"/>
      <c r="CW5" s="69"/>
      <c r="CX5" s="69"/>
      <c r="CY5" s="69"/>
      <c r="CZ5" s="69"/>
      <c r="DA5" s="67"/>
      <c r="DB5" s="68" t="s">
        <v>52</v>
      </c>
      <c r="DC5" s="69"/>
      <c r="DD5" s="69"/>
      <c r="DE5" s="69"/>
      <c r="DF5" s="69"/>
      <c r="DG5" s="67"/>
      <c r="DH5" s="68" t="s">
        <v>52</v>
      </c>
      <c r="DI5" s="69"/>
      <c r="DJ5" s="69"/>
      <c r="DK5" s="69"/>
      <c r="DL5" s="69"/>
      <c r="DM5" s="67"/>
      <c r="DN5" s="68" t="s">
        <v>52</v>
      </c>
      <c r="DO5" s="69"/>
      <c r="DP5" s="69"/>
      <c r="DQ5" s="69"/>
      <c r="DR5" s="69"/>
      <c r="DS5" s="67"/>
      <c r="DT5" s="68" t="s">
        <v>52</v>
      </c>
      <c r="DU5" s="69"/>
      <c r="DV5" s="69"/>
      <c r="DW5" s="69"/>
      <c r="DX5" s="69"/>
      <c r="DY5" s="69"/>
      <c r="EA5" s="68" t="s">
        <v>52</v>
      </c>
      <c r="EB5" s="69"/>
      <c r="EC5" s="69"/>
      <c r="ED5" s="69"/>
      <c r="EE5" s="69"/>
      <c r="EF5" s="69"/>
      <c r="EH5" s="68" t="s">
        <v>52</v>
      </c>
      <c r="EI5" s="69"/>
      <c r="EJ5" s="69"/>
      <c r="EK5" s="69"/>
      <c r="EL5" s="69"/>
      <c r="EM5" s="69"/>
      <c r="EO5" s="68" t="s">
        <v>52</v>
      </c>
      <c r="EP5" s="69"/>
      <c r="EQ5" s="69"/>
      <c r="ER5" s="69"/>
      <c r="ES5" s="69"/>
      <c r="ET5" s="69"/>
    </row>
    <row r="6" spans="1:150" x14ac:dyDescent="0.4">
      <c r="B6" s="71" t="s">
        <v>53</v>
      </c>
      <c r="F6" s="72"/>
      <c r="G6" s="72"/>
      <c r="H6" s="72" t="s">
        <v>53</v>
      </c>
      <c r="I6" s="72"/>
      <c r="J6" s="72"/>
      <c r="K6" s="72"/>
      <c r="L6" s="72"/>
      <c r="M6" s="72"/>
      <c r="O6" s="72"/>
      <c r="P6" s="72"/>
      <c r="Q6" s="72" t="s">
        <v>53</v>
      </c>
      <c r="R6" s="72"/>
      <c r="S6" s="72"/>
      <c r="T6" s="72"/>
      <c r="U6" s="72"/>
      <c r="V6" s="72"/>
      <c r="X6" s="71" t="s">
        <v>53</v>
      </c>
      <c r="Y6" s="72"/>
      <c r="Z6" s="72"/>
      <c r="AA6" s="72"/>
      <c r="AB6" s="72"/>
      <c r="AC6" s="72"/>
      <c r="AD6" s="72"/>
      <c r="AF6" s="71" t="s">
        <v>53</v>
      </c>
      <c r="AG6" s="72"/>
      <c r="AH6" s="72"/>
      <c r="AI6" s="72"/>
      <c r="AJ6" s="72"/>
      <c r="AK6" s="72"/>
      <c r="AL6" s="72"/>
      <c r="AN6" s="71" t="s">
        <v>53</v>
      </c>
      <c r="AO6" s="72"/>
      <c r="AP6" s="184"/>
      <c r="AQ6" s="72"/>
      <c r="AR6" s="72"/>
      <c r="AS6" s="72"/>
      <c r="AU6" s="71" t="s">
        <v>53</v>
      </c>
      <c r="AV6" s="72"/>
      <c r="AW6" s="72"/>
      <c r="AX6" s="72"/>
      <c r="AY6" s="72"/>
      <c r="AZ6" s="72"/>
      <c r="BB6" s="71" t="s">
        <v>53</v>
      </c>
      <c r="BC6" s="72"/>
      <c r="BD6" s="72"/>
      <c r="BE6" s="72"/>
      <c r="BF6" s="72"/>
      <c r="BH6" s="71" t="s">
        <v>53</v>
      </c>
      <c r="BI6" s="72"/>
      <c r="BJ6" s="72"/>
      <c r="BK6" s="72"/>
      <c r="BL6" s="72"/>
      <c r="BN6" s="71" t="s">
        <v>53</v>
      </c>
      <c r="BO6" s="72"/>
      <c r="BP6" s="72"/>
      <c r="BQ6" s="72"/>
      <c r="BR6" s="72"/>
      <c r="BS6" s="72"/>
      <c r="BT6" s="67"/>
      <c r="BU6" s="71" t="s">
        <v>53</v>
      </c>
      <c r="BV6" s="72"/>
      <c r="BW6" s="72"/>
      <c r="BX6" s="72"/>
      <c r="BY6" s="72"/>
      <c r="BZ6" s="67"/>
      <c r="CA6" s="71" t="s">
        <v>53</v>
      </c>
      <c r="CB6" s="72"/>
      <c r="CC6" s="72"/>
      <c r="CD6" s="72"/>
      <c r="CE6" s="72"/>
      <c r="CF6" s="72"/>
      <c r="CG6" s="67"/>
      <c r="CH6" s="71" t="s">
        <v>53</v>
      </c>
      <c r="CI6" s="72"/>
      <c r="CJ6" s="72"/>
      <c r="CK6" s="72"/>
      <c r="CL6" s="72"/>
      <c r="CM6" s="72"/>
      <c r="CN6" s="71" t="s">
        <v>53</v>
      </c>
      <c r="CO6" s="72"/>
      <c r="CP6" s="72"/>
      <c r="CQ6" s="72"/>
      <c r="CR6" s="72"/>
      <c r="CS6" s="72"/>
      <c r="CT6" s="72"/>
      <c r="CU6" s="71" t="s">
        <v>53</v>
      </c>
      <c r="CV6" s="72"/>
      <c r="CW6" s="72"/>
      <c r="CX6" s="72"/>
      <c r="CY6" s="72"/>
      <c r="CZ6" s="72"/>
      <c r="DA6" s="72"/>
      <c r="DB6" s="71" t="s">
        <v>53</v>
      </c>
      <c r="DC6" s="72"/>
      <c r="DD6" s="72"/>
      <c r="DE6" s="72"/>
      <c r="DF6" s="72"/>
      <c r="DG6" s="72"/>
      <c r="DH6" s="71" t="s">
        <v>53</v>
      </c>
      <c r="DI6" s="72"/>
      <c r="DJ6" s="72"/>
      <c r="DK6" s="72"/>
      <c r="DL6" s="72"/>
      <c r="DM6" s="72"/>
      <c r="DN6" s="71" t="s">
        <v>53</v>
      </c>
      <c r="DO6" s="72"/>
      <c r="DP6" s="72"/>
      <c r="DQ6" s="72"/>
      <c r="DR6" s="72"/>
      <c r="DS6" s="72"/>
      <c r="DT6" s="71" t="s">
        <v>53</v>
      </c>
      <c r="DU6" s="72"/>
      <c r="DV6" s="72"/>
      <c r="DW6" s="72"/>
      <c r="DX6" s="72"/>
      <c r="DY6" s="72"/>
      <c r="DZ6" s="67"/>
      <c r="EA6" s="71" t="s">
        <v>53</v>
      </c>
      <c r="EB6" s="72"/>
      <c r="EC6" s="72"/>
      <c r="ED6" s="72"/>
      <c r="EE6" s="72"/>
      <c r="EF6" s="72"/>
      <c r="EG6" s="67"/>
      <c r="EH6" s="71" t="s">
        <v>53</v>
      </c>
      <c r="EI6" s="72"/>
      <c r="EJ6" s="72"/>
      <c r="EK6" s="72"/>
      <c r="EL6" s="72"/>
      <c r="EM6" s="72"/>
      <c r="EN6" s="67"/>
      <c r="EO6" s="71" t="s">
        <v>53</v>
      </c>
      <c r="EP6" s="72"/>
      <c r="EQ6" s="72"/>
      <c r="ER6" s="72"/>
      <c r="ES6" s="72"/>
      <c r="ET6" s="72"/>
    </row>
    <row r="7" spans="1:150" x14ac:dyDescent="0.4">
      <c r="B7" s="39" t="s">
        <v>54</v>
      </c>
      <c r="F7" s="72"/>
      <c r="G7" s="72"/>
      <c r="H7" s="72" t="s">
        <v>59</v>
      </c>
      <c r="I7" s="72"/>
      <c r="J7" s="72"/>
      <c r="K7" s="72"/>
      <c r="L7" s="72"/>
      <c r="M7" s="72"/>
      <c r="O7" s="72"/>
      <c r="P7" s="72"/>
      <c r="Q7" s="72" t="s">
        <v>63</v>
      </c>
      <c r="R7" s="72"/>
      <c r="S7" s="72"/>
      <c r="T7" s="72"/>
      <c r="U7" s="72"/>
      <c r="V7" s="72"/>
      <c r="X7" s="71" t="s">
        <v>64</v>
      </c>
      <c r="Y7" s="72"/>
      <c r="Z7" s="72"/>
      <c r="AA7" s="72"/>
      <c r="AB7" s="72"/>
      <c r="AC7" s="72"/>
      <c r="AD7" s="72"/>
      <c r="AF7" s="71" t="s">
        <v>62</v>
      </c>
      <c r="AG7" s="72"/>
      <c r="AH7" s="72"/>
      <c r="AI7" s="72"/>
      <c r="AJ7" s="72"/>
      <c r="AK7" s="72"/>
      <c r="AL7" s="72"/>
      <c r="AN7" s="71" t="s">
        <v>65</v>
      </c>
      <c r="AO7" s="72"/>
      <c r="AP7" s="184"/>
      <c r="AQ7" s="72"/>
      <c r="AR7" s="72"/>
      <c r="AS7" s="72"/>
      <c r="AU7" s="71" t="s">
        <v>66</v>
      </c>
      <c r="AV7" s="72"/>
      <c r="AW7" s="72"/>
      <c r="AX7" s="72"/>
      <c r="AY7" s="72"/>
      <c r="AZ7" s="72"/>
      <c r="BB7" s="71" t="s">
        <v>67</v>
      </c>
      <c r="BC7" s="72"/>
      <c r="BD7" s="72"/>
      <c r="BE7" s="72"/>
      <c r="BF7" s="72"/>
      <c r="BH7" s="71" t="s">
        <v>68</v>
      </c>
      <c r="BI7" s="72"/>
      <c r="BJ7" s="72"/>
      <c r="BK7" s="72"/>
      <c r="BL7" s="72"/>
      <c r="BN7" s="71" t="s">
        <v>69</v>
      </c>
      <c r="BO7" s="72"/>
      <c r="BP7" s="72"/>
      <c r="BQ7" s="72"/>
      <c r="BR7" s="72"/>
      <c r="BS7" s="72"/>
      <c r="BT7" s="67"/>
      <c r="BU7" s="71" t="s">
        <v>70</v>
      </c>
      <c r="BV7" s="72"/>
      <c r="BW7" s="72"/>
      <c r="BX7" s="72"/>
      <c r="BY7" s="72"/>
      <c r="BZ7" s="67"/>
      <c r="CA7" s="71" t="s">
        <v>71</v>
      </c>
      <c r="CB7" s="72"/>
      <c r="CC7" s="72"/>
      <c r="CD7" s="72"/>
      <c r="CE7" s="72"/>
      <c r="CF7" s="72"/>
      <c r="CG7" s="67"/>
      <c r="CH7" s="71" t="s">
        <v>72</v>
      </c>
      <c r="CI7" s="72"/>
      <c r="CJ7" s="72"/>
      <c r="CK7" s="72"/>
      <c r="CL7" s="72"/>
      <c r="CM7" s="67"/>
      <c r="CN7" s="71" t="s">
        <v>73</v>
      </c>
      <c r="CO7" s="73"/>
      <c r="CP7" s="72"/>
      <c r="CQ7" s="73"/>
      <c r="CR7" s="73"/>
      <c r="CS7" s="73"/>
      <c r="CT7" s="73"/>
      <c r="CU7" s="71" t="s">
        <v>74</v>
      </c>
      <c r="CV7" s="73"/>
      <c r="CW7" s="72"/>
      <c r="CX7" s="73"/>
      <c r="CY7" s="73"/>
      <c r="CZ7" s="73"/>
      <c r="DA7" s="67"/>
      <c r="DB7" s="71" t="s">
        <v>75</v>
      </c>
      <c r="DC7" s="72"/>
      <c r="DD7" s="72"/>
      <c r="DE7" s="72"/>
      <c r="DF7" s="72"/>
      <c r="DG7" s="67"/>
      <c r="DH7" s="71" t="s">
        <v>76</v>
      </c>
      <c r="DI7" s="72"/>
      <c r="DJ7" s="72"/>
      <c r="DK7" s="72"/>
      <c r="DL7" s="72"/>
      <c r="DM7" s="67"/>
      <c r="DN7" s="71" t="s">
        <v>77</v>
      </c>
      <c r="DO7" s="72"/>
      <c r="DP7" s="72"/>
      <c r="DQ7" s="72"/>
      <c r="DR7" s="72"/>
      <c r="DS7" s="67"/>
      <c r="DT7" s="71" t="s">
        <v>78</v>
      </c>
      <c r="DU7" s="72"/>
      <c r="DV7" s="72"/>
      <c r="DW7" s="72"/>
      <c r="DX7" s="72"/>
      <c r="DY7" s="72"/>
      <c r="DZ7" s="67"/>
      <c r="EA7" s="71" t="s">
        <v>79</v>
      </c>
      <c r="EB7" s="72"/>
      <c r="EC7" s="72"/>
      <c r="ED7" s="72"/>
      <c r="EE7" s="72"/>
      <c r="EF7" s="72"/>
      <c r="EG7" s="67"/>
      <c r="EH7" s="71" t="s">
        <v>80</v>
      </c>
      <c r="EI7" s="72"/>
      <c r="EJ7" s="72"/>
      <c r="EK7" s="72"/>
      <c r="EL7" s="72"/>
      <c r="EM7" s="72"/>
      <c r="EN7" s="67"/>
      <c r="EO7" s="71" t="s">
        <v>81</v>
      </c>
      <c r="EP7" s="72"/>
      <c r="EQ7" s="72"/>
      <c r="ER7" s="72"/>
      <c r="ES7" s="72"/>
      <c r="ET7" s="72"/>
    </row>
    <row r="8" spans="1:150" x14ac:dyDescent="0.4">
      <c r="F8" s="72"/>
      <c r="G8" s="72"/>
      <c r="H8" s="72"/>
      <c r="I8" s="72"/>
      <c r="J8" s="72"/>
      <c r="K8" s="72"/>
      <c r="L8" s="72"/>
      <c r="M8" s="72"/>
      <c r="O8" s="72"/>
      <c r="P8" s="72"/>
      <c r="Q8" s="72"/>
      <c r="R8" s="72"/>
      <c r="S8" s="72"/>
      <c r="T8" s="72"/>
      <c r="U8" s="72"/>
      <c r="V8" s="72"/>
      <c r="X8" s="74"/>
      <c r="Y8" s="75"/>
      <c r="Z8" s="75"/>
      <c r="AA8" s="75"/>
      <c r="AB8" s="75"/>
      <c r="AC8" s="75"/>
      <c r="AD8" s="75"/>
      <c r="AF8" s="74"/>
      <c r="AG8" s="75"/>
      <c r="AH8" s="75"/>
      <c r="AI8" s="75"/>
      <c r="AJ8" s="75"/>
      <c r="AK8" s="75"/>
      <c r="AL8" s="75"/>
      <c r="AN8" s="74"/>
      <c r="AO8" s="75"/>
      <c r="AP8" s="185"/>
      <c r="AQ8" s="75"/>
      <c r="AR8" s="75"/>
      <c r="AS8" s="75"/>
      <c r="AU8" s="74"/>
      <c r="AV8" s="75"/>
      <c r="AW8" s="75"/>
      <c r="AX8" s="75"/>
      <c r="AY8" s="75"/>
      <c r="AZ8" s="75"/>
      <c r="BB8" s="74"/>
      <c r="BC8" s="75"/>
      <c r="BD8" s="75"/>
      <c r="BE8" s="75"/>
      <c r="BF8" s="75"/>
      <c r="BH8" s="74"/>
      <c r="BI8" s="75"/>
      <c r="BJ8" s="75"/>
      <c r="BK8" s="75"/>
      <c r="BL8" s="75"/>
      <c r="BN8" s="74"/>
      <c r="BO8" s="75"/>
      <c r="BP8" s="75"/>
      <c r="BQ8" s="75"/>
      <c r="BR8" s="75"/>
      <c r="BS8" s="75"/>
      <c r="BT8" s="67"/>
      <c r="BU8" s="74"/>
      <c r="BV8" s="75"/>
      <c r="BW8" s="75"/>
      <c r="BX8" s="75"/>
      <c r="BY8" s="75"/>
      <c r="BZ8" s="67"/>
      <c r="CA8" s="75"/>
      <c r="CB8" s="75"/>
      <c r="CC8" s="75"/>
      <c r="CD8" s="75"/>
      <c r="CE8" s="75"/>
      <c r="CF8" s="75"/>
      <c r="CG8" s="67"/>
      <c r="CH8" s="75"/>
      <c r="CI8" s="75"/>
      <c r="CJ8" s="75"/>
      <c r="CK8" s="75"/>
      <c r="CL8" s="75"/>
      <c r="CM8" s="67"/>
      <c r="CN8" s="74"/>
      <c r="CO8" s="75"/>
      <c r="CP8" s="75"/>
      <c r="CQ8" s="75"/>
      <c r="CR8" s="75"/>
      <c r="CS8" s="75"/>
      <c r="CT8" s="75"/>
      <c r="CU8" s="74"/>
      <c r="CV8" s="75"/>
      <c r="CW8" s="75"/>
      <c r="CX8" s="75"/>
      <c r="CY8" s="75"/>
      <c r="CZ8" s="75"/>
      <c r="DA8" s="67"/>
      <c r="DB8" s="74"/>
      <c r="DC8" s="75"/>
      <c r="DD8" s="75"/>
      <c r="DE8" s="75"/>
      <c r="DF8" s="75"/>
      <c r="DG8" s="67"/>
      <c r="DH8" s="74"/>
      <c r="DI8" s="75"/>
      <c r="DJ8" s="75"/>
      <c r="DK8" s="75"/>
      <c r="DL8" s="75"/>
      <c r="DM8" s="67"/>
      <c r="DN8" s="74"/>
      <c r="DO8" s="75"/>
      <c r="DP8" s="75"/>
      <c r="DQ8" s="75"/>
      <c r="DR8" s="75"/>
      <c r="DS8" s="67"/>
      <c r="DT8" s="74"/>
      <c r="DU8" s="75"/>
      <c r="DV8" s="75"/>
      <c r="DW8" s="75"/>
      <c r="DX8" s="75"/>
      <c r="DY8" s="75"/>
      <c r="DZ8" s="67"/>
      <c r="EA8" s="74"/>
      <c r="EB8" s="75"/>
      <c r="EC8" s="75"/>
      <c r="ED8" s="75"/>
      <c r="EE8" s="75"/>
      <c r="EF8" s="75"/>
      <c r="EG8" s="67"/>
      <c r="EH8" s="74"/>
      <c r="EI8" s="75"/>
      <c r="EJ8" s="75"/>
      <c r="EK8" s="75"/>
      <c r="EL8" s="75"/>
      <c r="EM8" s="75"/>
      <c r="EN8" s="67"/>
      <c r="EO8" s="74"/>
      <c r="EP8" s="75"/>
      <c r="EQ8" s="75"/>
      <c r="ER8" s="75"/>
      <c r="ES8" s="75"/>
      <c r="ET8" s="75"/>
    </row>
    <row r="9" spans="1:150" x14ac:dyDescent="0.4">
      <c r="B9" s="71" t="s">
        <v>55</v>
      </c>
      <c r="C9" s="76" t="s">
        <v>56</v>
      </c>
      <c r="D9" s="76"/>
      <c r="F9" s="72" t="s">
        <v>55</v>
      </c>
      <c r="G9" s="72"/>
      <c r="H9" s="72" t="s">
        <v>60</v>
      </c>
      <c r="I9" s="76"/>
      <c r="J9" s="76"/>
      <c r="K9" s="76" t="s">
        <v>38</v>
      </c>
      <c r="L9" s="76" t="s">
        <v>61</v>
      </c>
      <c r="M9" s="76" t="s">
        <v>56</v>
      </c>
      <c r="O9" s="71"/>
      <c r="Q9" s="71" t="s">
        <v>55</v>
      </c>
      <c r="T9" s="76" t="s">
        <v>38</v>
      </c>
      <c r="U9" s="76" t="s">
        <v>61</v>
      </c>
      <c r="X9" s="71" t="s">
        <v>55</v>
      </c>
      <c r="AB9" s="76" t="s">
        <v>38</v>
      </c>
      <c r="AC9" s="76" t="s">
        <v>61</v>
      </c>
      <c r="AF9" s="71" t="s">
        <v>55</v>
      </c>
      <c r="AJ9" s="76" t="s">
        <v>38</v>
      </c>
      <c r="AK9" s="76" t="s">
        <v>61</v>
      </c>
      <c r="AN9" s="71" t="s">
        <v>55</v>
      </c>
      <c r="AR9" s="76" t="s">
        <v>38</v>
      </c>
      <c r="AU9" s="71" t="s">
        <v>55</v>
      </c>
      <c r="AY9" s="76" t="s">
        <v>38</v>
      </c>
      <c r="BB9" s="71" t="s">
        <v>55</v>
      </c>
      <c r="BH9" s="71" t="s">
        <v>55</v>
      </c>
      <c r="BN9" s="71" t="s">
        <v>55</v>
      </c>
      <c r="BR9" s="76" t="s">
        <v>38</v>
      </c>
      <c r="BT9" s="67"/>
      <c r="BU9" s="71" t="s">
        <v>55</v>
      </c>
      <c r="BV9" s="77"/>
      <c r="BW9" s="77"/>
      <c r="BX9" s="77"/>
      <c r="BY9" s="77"/>
      <c r="BZ9" s="67"/>
      <c r="CA9" s="71" t="s">
        <v>55</v>
      </c>
      <c r="CE9" s="76" t="s">
        <v>38</v>
      </c>
      <c r="CG9" s="67"/>
      <c r="CH9" s="71" t="s">
        <v>55</v>
      </c>
      <c r="CL9" s="76"/>
      <c r="CM9" s="67"/>
      <c r="CN9" s="71" t="s">
        <v>55</v>
      </c>
      <c r="CO9" s="40"/>
      <c r="CP9" s="40"/>
      <c r="CQ9" s="40"/>
      <c r="CR9" s="78" t="s">
        <v>38</v>
      </c>
      <c r="CS9" s="40"/>
      <c r="CT9" s="40"/>
      <c r="CU9" s="71" t="s">
        <v>55</v>
      </c>
      <c r="CV9" s="40"/>
      <c r="CW9" s="40"/>
      <c r="CX9" s="40"/>
      <c r="CY9" s="76" t="s">
        <v>38</v>
      </c>
      <c r="CZ9" s="40"/>
      <c r="DA9" s="40"/>
      <c r="DB9" s="71" t="s">
        <v>55</v>
      </c>
      <c r="DG9" s="67"/>
      <c r="DH9" s="71" t="s">
        <v>55</v>
      </c>
      <c r="DM9" s="67"/>
      <c r="DN9" s="71" t="s">
        <v>55</v>
      </c>
      <c r="DS9" s="67"/>
      <c r="DT9" s="71" t="s">
        <v>55</v>
      </c>
      <c r="DX9" s="76" t="s">
        <v>38</v>
      </c>
      <c r="DZ9" s="67"/>
      <c r="EA9" s="71" t="s">
        <v>55</v>
      </c>
      <c r="EE9" s="76" t="s">
        <v>38</v>
      </c>
      <c r="EG9" s="67"/>
      <c r="EH9" s="71" t="s">
        <v>55</v>
      </c>
      <c r="EL9" s="76" t="s">
        <v>38</v>
      </c>
      <c r="EN9" s="67"/>
      <c r="EO9" s="71" t="s">
        <v>55</v>
      </c>
      <c r="ES9" s="76" t="s">
        <v>38</v>
      </c>
    </row>
    <row r="10" spans="1:150" ht="13.5" thickBot="1" x14ac:dyDescent="0.45">
      <c r="B10" s="79" t="s">
        <v>57</v>
      </c>
      <c r="C10" s="80" t="s">
        <v>58</v>
      </c>
      <c r="D10" s="80" t="s">
        <v>51</v>
      </c>
      <c r="F10" s="81" t="s">
        <v>57</v>
      </c>
      <c r="G10" s="81"/>
      <c r="H10" s="81" t="s">
        <v>30</v>
      </c>
      <c r="I10" s="80" t="s">
        <v>28</v>
      </c>
      <c r="J10" s="80" t="s">
        <v>39</v>
      </c>
      <c r="K10" s="80" t="s">
        <v>39</v>
      </c>
      <c r="L10" s="80" t="s">
        <v>39</v>
      </c>
      <c r="M10" s="80" t="s">
        <v>58</v>
      </c>
      <c r="O10" s="79"/>
      <c r="P10" s="80"/>
      <c r="Q10" s="79" t="s">
        <v>57</v>
      </c>
      <c r="R10" s="80" t="s">
        <v>28</v>
      </c>
      <c r="S10" s="80" t="s">
        <v>39</v>
      </c>
      <c r="T10" s="80" t="s">
        <v>39</v>
      </c>
      <c r="U10" s="80" t="s">
        <v>39</v>
      </c>
      <c r="V10" s="80" t="s">
        <v>41</v>
      </c>
      <c r="X10" s="79" t="s">
        <v>57</v>
      </c>
      <c r="Y10" s="80" t="s">
        <v>28</v>
      </c>
      <c r="Z10" s="80" t="s">
        <v>32</v>
      </c>
      <c r="AA10" s="80" t="s">
        <v>39</v>
      </c>
      <c r="AB10" s="80" t="s">
        <v>39</v>
      </c>
      <c r="AC10" s="80" t="s">
        <v>39</v>
      </c>
      <c r="AD10" s="80" t="s">
        <v>41</v>
      </c>
      <c r="AF10" s="79" t="s">
        <v>57</v>
      </c>
      <c r="AG10" s="80" t="s">
        <v>28</v>
      </c>
      <c r="AH10" s="80" t="s">
        <v>32</v>
      </c>
      <c r="AI10" s="80" t="s">
        <v>39</v>
      </c>
      <c r="AJ10" s="80" t="s">
        <v>39</v>
      </c>
      <c r="AK10" s="80" t="s">
        <v>39</v>
      </c>
      <c r="AL10" s="80" t="s">
        <v>41</v>
      </c>
      <c r="AN10" s="79" t="s">
        <v>57</v>
      </c>
      <c r="AO10" s="80" t="s">
        <v>28</v>
      </c>
      <c r="AP10" s="186" t="s">
        <v>32</v>
      </c>
      <c r="AQ10" s="80" t="s">
        <v>39</v>
      </c>
      <c r="AR10" s="80" t="s">
        <v>39</v>
      </c>
      <c r="AS10" s="80" t="s">
        <v>41</v>
      </c>
      <c r="AU10" s="79" t="s">
        <v>57</v>
      </c>
      <c r="AV10" s="80" t="s">
        <v>28</v>
      </c>
      <c r="AW10" s="80" t="s">
        <v>32</v>
      </c>
      <c r="AX10" s="80" t="s">
        <v>39</v>
      </c>
      <c r="AY10" s="80" t="s">
        <v>39</v>
      </c>
      <c r="AZ10" s="80" t="s">
        <v>41</v>
      </c>
      <c r="BB10" s="79" t="s">
        <v>57</v>
      </c>
      <c r="BC10" s="80" t="s">
        <v>28</v>
      </c>
      <c r="BD10" s="80" t="s">
        <v>32</v>
      </c>
      <c r="BE10" s="80" t="s">
        <v>39</v>
      </c>
      <c r="BF10" s="80" t="s">
        <v>41</v>
      </c>
      <c r="BH10" s="79" t="s">
        <v>57</v>
      </c>
      <c r="BI10" s="80" t="s">
        <v>28</v>
      </c>
      <c r="BJ10" s="80" t="s">
        <v>32</v>
      </c>
      <c r="BK10" s="80" t="s">
        <v>39</v>
      </c>
      <c r="BL10" s="80" t="s">
        <v>41</v>
      </c>
      <c r="BN10" s="79" t="s">
        <v>57</v>
      </c>
      <c r="BO10" s="80" t="s">
        <v>28</v>
      </c>
      <c r="BP10" s="80" t="s">
        <v>32</v>
      </c>
      <c r="BQ10" s="80" t="s">
        <v>39</v>
      </c>
      <c r="BR10" s="80" t="s">
        <v>39</v>
      </c>
      <c r="BS10" s="80" t="s">
        <v>41</v>
      </c>
      <c r="BT10" s="67"/>
      <c r="BU10" s="79" t="s">
        <v>57</v>
      </c>
      <c r="BV10" s="80" t="s">
        <v>28</v>
      </c>
      <c r="BW10" s="80" t="s">
        <v>32</v>
      </c>
      <c r="BX10" s="80" t="s">
        <v>39</v>
      </c>
      <c r="BY10" s="80" t="s">
        <v>41</v>
      </c>
      <c r="BZ10" s="67"/>
      <c r="CA10" s="79" t="s">
        <v>57</v>
      </c>
      <c r="CB10" s="80" t="s">
        <v>28</v>
      </c>
      <c r="CC10" s="80" t="s">
        <v>32</v>
      </c>
      <c r="CD10" s="80" t="s">
        <v>39</v>
      </c>
      <c r="CE10" s="80" t="s">
        <v>39</v>
      </c>
      <c r="CF10" s="80" t="s">
        <v>41</v>
      </c>
      <c r="CG10" s="67"/>
      <c r="CH10" s="79" t="s">
        <v>57</v>
      </c>
      <c r="CI10" s="80" t="s">
        <v>28</v>
      </c>
      <c r="CJ10" s="80" t="s">
        <v>32</v>
      </c>
      <c r="CK10" s="80" t="s">
        <v>39</v>
      </c>
      <c r="CL10" s="80" t="s">
        <v>41</v>
      </c>
      <c r="CM10" s="67"/>
      <c r="CN10" s="79" t="s">
        <v>57</v>
      </c>
      <c r="CO10" s="82" t="s">
        <v>28</v>
      </c>
      <c r="CP10" s="82" t="s">
        <v>32</v>
      </c>
      <c r="CQ10" s="82" t="s">
        <v>39</v>
      </c>
      <c r="CR10" s="82" t="s">
        <v>39</v>
      </c>
      <c r="CS10" s="82" t="s">
        <v>41</v>
      </c>
      <c r="CT10" s="78"/>
      <c r="CU10" s="79" t="s">
        <v>57</v>
      </c>
      <c r="CV10" s="82" t="s">
        <v>28</v>
      </c>
      <c r="CW10" s="82" t="s">
        <v>32</v>
      </c>
      <c r="CX10" s="82" t="s">
        <v>39</v>
      </c>
      <c r="CY10" s="80" t="s">
        <v>39</v>
      </c>
      <c r="CZ10" s="82" t="s">
        <v>41</v>
      </c>
      <c r="DA10" s="82" t="e">
        <v>#VALUE!</v>
      </c>
      <c r="DB10" s="79" t="s">
        <v>57</v>
      </c>
      <c r="DC10" s="80" t="s">
        <v>28</v>
      </c>
      <c r="DD10" s="80" t="s">
        <v>32</v>
      </c>
      <c r="DE10" s="80" t="s">
        <v>39</v>
      </c>
      <c r="DF10" s="80" t="s">
        <v>41</v>
      </c>
      <c r="DG10" s="67"/>
      <c r="DH10" s="79" t="s">
        <v>57</v>
      </c>
      <c r="DI10" s="80" t="s">
        <v>28</v>
      </c>
      <c r="DJ10" s="80" t="s">
        <v>32</v>
      </c>
      <c r="DK10" s="80" t="s">
        <v>39</v>
      </c>
      <c r="DL10" s="80" t="s">
        <v>41</v>
      </c>
      <c r="DM10" s="67"/>
      <c r="DN10" s="79" t="s">
        <v>57</v>
      </c>
      <c r="DO10" s="80" t="s">
        <v>28</v>
      </c>
      <c r="DP10" s="80" t="s">
        <v>32</v>
      </c>
      <c r="DQ10" s="80" t="s">
        <v>39</v>
      </c>
      <c r="DR10" s="80" t="s">
        <v>41</v>
      </c>
      <c r="DS10" s="67"/>
      <c r="DT10" s="79" t="s">
        <v>57</v>
      </c>
      <c r="DU10" s="80" t="s">
        <v>28</v>
      </c>
      <c r="DV10" s="80" t="s">
        <v>32</v>
      </c>
      <c r="DW10" s="80" t="s">
        <v>39</v>
      </c>
      <c r="DX10" s="80" t="s">
        <v>39</v>
      </c>
      <c r="DY10" s="80" t="s">
        <v>41</v>
      </c>
      <c r="DZ10" s="67"/>
      <c r="EA10" s="79" t="s">
        <v>57</v>
      </c>
      <c r="EB10" s="80" t="s">
        <v>28</v>
      </c>
      <c r="EC10" s="80" t="s">
        <v>32</v>
      </c>
      <c r="ED10" s="80" t="s">
        <v>39</v>
      </c>
      <c r="EE10" s="80" t="s">
        <v>39</v>
      </c>
      <c r="EF10" s="80" t="s">
        <v>41</v>
      </c>
      <c r="EG10" s="67"/>
      <c r="EH10" s="79" t="s">
        <v>57</v>
      </c>
      <c r="EI10" s="80" t="s">
        <v>28</v>
      </c>
      <c r="EJ10" s="80" t="s">
        <v>32</v>
      </c>
      <c r="EK10" s="80" t="s">
        <v>39</v>
      </c>
      <c r="EL10" s="80" t="s">
        <v>39</v>
      </c>
      <c r="EM10" s="80" t="s">
        <v>41</v>
      </c>
      <c r="EN10" s="67"/>
      <c r="EO10" s="79" t="s">
        <v>57</v>
      </c>
      <c r="EP10" s="80" t="s">
        <v>28</v>
      </c>
      <c r="EQ10" s="80" t="s">
        <v>32</v>
      </c>
      <c r="ER10" s="80" t="s">
        <v>39</v>
      </c>
      <c r="ES10" s="80" t="s">
        <v>39</v>
      </c>
      <c r="ET10" s="80" t="s">
        <v>41</v>
      </c>
    </row>
    <row r="11" spans="1:150" x14ac:dyDescent="0.4">
      <c r="X11" s="71"/>
      <c r="Y11" s="76"/>
      <c r="Z11" s="76"/>
      <c r="AA11" s="76"/>
      <c r="AB11" s="76"/>
      <c r="AC11" s="76"/>
      <c r="AD11" s="76"/>
      <c r="AF11" s="71"/>
      <c r="AG11" s="76"/>
      <c r="AH11" s="76"/>
      <c r="AI11" s="76"/>
      <c r="AJ11" s="76"/>
      <c r="AK11" s="76"/>
      <c r="AL11" s="76"/>
      <c r="AN11" s="71"/>
      <c r="AO11" s="76"/>
      <c r="AP11" s="187"/>
      <c r="AQ11" s="76"/>
      <c r="AR11" s="76"/>
      <c r="AS11" s="76"/>
      <c r="AU11" s="71"/>
      <c r="AV11" s="76"/>
      <c r="AW11" s="76"/>
      <c r="AX11" s="76"/>
      <c r="AY11" s="76"/>
      <c r="AZ11" s="76"/>
      <c r="BB11" s="71"/>
      <c r="BC11" s="76"/>
      <c r="BD11" s="76"/>
      <c r="BE11" s="76"/>
      <c r="BF11" s="76"/>
      <c r="BH11" s="71"/>
      <c r="BI11" s="76"/>
      <c r="BJ11" s="76"/>
      <c r="BK11" s="76"/>
      <c r="BL11" s="76"/>
      <c r="BN11" s="71"/>
      <c r="BO11" s="76"/>
      <c r="BP11" s="76"/>
      <c r="BQ11" s="76"/>
      <c r="BR11" s="76"/>
      <c r="BS11" s="76"/>
      <c r="BT11" s="67"/>
      <c r="BU11" s="76"/>
      <c r="BV11" s="76"/>
      <c r="BW11" s="76"/>
      <c r="BX11" s="76"/>
      <c r="BY11" s="76"/>
      <c r="BZ11" s="67"/>
      <c r="CA11" s="83"/>
      <c r="CB11" s="76"/>
      <c r="CC11" s="76"/>
      <c r="CD11" s="76"/>
      <c r="CE11" s="76"/>
      <c r="CF11" s="76"/>
      <c r="CG11" s="67"/>
      <c r="CH11" s="83"/>
      <c r="CI11" s="76"/>
      <c r="CJ11" s="76"/>
      <c r="CK11" s="76"/>
      <c r="CL11" s="76"/>
      <c r="CM11" s="67"/>
      <c r="CN11" s="83"/>
      <c r="CO11" s="84"/>
      <c r="CP11" s="76"/>
      <c r="CQ11" s="84"/>
      <c r="CR11" s="84"/>
      <c r="CS11" s="84"/>
      <c r="CT11" s="84"/>
      <c r="CU11" s="83"/>
      <c r="CV11" s="84"/>
      <c r="CW11" s="76"/>
      <c r="CX11" s="84"/>
      <c r="CY11" s="84"/>
      <c r="CZ11" s="84"/>
      <c r="DA11" s="67"/>
      <c r="DB11" s="83"/>
      <c r="DG11" s="67"/>
      <c r="DH11" s="83"/>
      <c r="DM11" s="67"/>
      <c r="DN11" s="83"/>
      <c r="DS11" s="67"/>
      <c r="DT11" s="83"/>
      <c r="DZ11" s="67"/>
      <c r="EA11" s="83"/>
      <c r="EG11" s="67"/>
      <c r="EH11" s="83"/>
      <c r="EN11" s="67"/>
      <c r="EO11" s="83"/>
    </row>
    <row r="12" spans="1:150" x14ac:dyDescent="0.4">
      <c r="F12" s="85">
        <v>43830</v>
      </c>
      <c r="G12" s="85"/>
      <c r="H12" s="85">
        <v>43814</v>
      </c>
      <c r="I12" s="40"/>
      <c r="O12" s="85">
        <v>43830</v>
      </c>
      <c r="P12" s="85"/>
      <c r="Q12" s="85">
        <v>43814</v>
      </c>
      <c r="R12" s="40">
        <f>SUM(Y12,AG12,AO12,AV12,BC12,BI12,BO12,BV12,CB12,CI12,CO12,CV12,DC12,DI12,DO12,DU12,EB12,EI12,EP12)</f>
        <v>1374430.75</v>
      </c>
      <c r="S12" s="40">
        <f>SUM(AA12,AI12,AQ12,AX12,BE12,BK12,BQ12,BX12,CD12,CK12,CQ12,CX12,DE12,DK12,DQ12,DW12,ED12,EK12,ER12)</f>
        <v>58930863.75</v>
      </c>
      <c r="T12" s="40">
        <f>SUM(AB12,AJ12,AR12,AY12,BR12,CE12,CR12,CY12,DX12,EE12,EL12,ES12)</f>
        <v>2395569.25</v>
      </c>
      <c r="U12" s="40">
        <f>SUM(AC12,AK12)</f>
        <v>0</v>
      </c>
      <c r="V12" s="40">
        <f>SUM(R12:U12)</f>
        <v>62700863.75</v>
      </c>
      <c r="X12" s="85">
        <v>43814</v>
      </c>
      <c r="Y12" s="40"/>
      <c r="Z12" s="101"/>
      <c r="AA12" s="40"/>
      <c r="AB12" s="40"/>
      <c r="AC12" s="40"/>
      <c r="AD12" s="40">
        <f>SUM(Y12,AA12,AB12,AC12)</f>
        <v>0</v>
      </c>
      <c r="AF12" s="85">
        <v>43814</v>
      </c>
      <c r="AG12" s="40">
        <v>0</v>
      </c>
      <c r="AH12" s="101"/>
      <c r="AI12" s="40">
        <v>4750125</v>
      </c>
      <c r="AJ12" s="40">
        <v>0</v>
      </c>
      <c r="AK12" s="40"/>
      <c r="AL12" s="40">
        <f>SUM(AG12,AI12,AJ12,AK12)</f>
        <v>4750125</v>
      </c>
      <c r="AN12" s="85">
        <v>43814</v>
      </c>
      <c r="AO12" s="40">
        <v>0</v>
      </c>
      <c r="AQ12" s="40">
        <v>1460250</v>
      </c>
      <c r="AR12" s="40">
        <v>0</v>
      </c>
      <c r="AS12" s="40">
        <f>SUM(AO12,AQ12,AR12)</f>
        <v>1460250</v>
      </c>
      <c r="AU12" s="85">
        <v>43814</v>
      </c>
      <c r="AV12" s="40">
        <v>0</v>
      </c>
      <c r="AW12" s="40"/>
      <c r="AX12" s="40">
        <v>3425625</v>
      </c>
      <c r="AY12" s="40">
        <v>0</v>
      </c>
      <c r="AZ12" s="40">
        <f>SUM(AV12,AX12,AY12)</f>
        <v>3425625</v>
      </c>
      <c r="BB12" s="85">
        <v>43814</v>
      </c>
      <c r="BC12" s="40">
        <v>0</v>
      </c>
      <c r="BD12" s="40"/>
      <c r="BE12" s="40">
        <v>1655375</v>
      </c>
      <c r="BF12" s="40">
        <f>SUM(BC12,BE12)</f>
        <v>1655375</v>
      </c>
      <c r="BH12" s="85">
        <v>43814</v>
      </c>
      <c r="BI12" s="40">
        <v>0</v>
      </c>
      <c r="BJ12" s="87">
        <v>0</v>
      </c>
      <c r="BK12" s="40">
        <f t="shared" ref="BK12:BK56" si="0">BI12*BJ12/2+BK13</f>
        <v>2426875</v>
      </c>
      <c r="BL12" s="40">
        <f>SUM(BI12,BK12)</f>
        <v>2426875</v>
      </c>
      <c r="BN12" s="85">
        <v>43814</v>
      </c>
      <c r="BO12" s="40">
        <v>340000</v>
      </c>
      <c r="BP12" s="87">
        <v>0.03</v>
      </c>
      <c r="BQ12" s="40">
        <v>15526537.5</v>
      </c>
      <c r="BR12" s="40">
        <v>0</v>
      </c>
      <c r="BS12" s="40">
        <f t="shared" ref="BS12:BS72" si="1">SUM(BO12,BQ12,BR12)</f>
        <v>15866537.5</v>
      </c>
      <c r="BT12" s="67"/>
      <c r="BU12" s="85">
        <v>43814</v>
      </c>
      <c r="BW12" s="87"/>
      <c r="BZ12" s="67"/>
      <c r="CA12" s="85">
        <v>43814</v>
      </c>
      <c r="CB12" s="40">
        <v>0</v>
      </c>
      <c r="CC12" s="87">
        <v>0</v>
      </c>
      <c r="CD12" s="40">
        <v>18269725</v>
      </c>
      <c r="CE12" s="40">
        <v>0</v>
      </c>
      <c r="CF12" s="40">
        <f>SUM(CB12,CD12,CE12)</f>
        <v>18269725</v>
      </c>
      <c r="CG12" s="67"/>
      <c r="CH12" s="85">
        <v>43814</v>
      </c>
      <c r="CI12" s="40"/>
      <c r="CJ12" s="87">
        <v>0</v>
      </c>
      <c r="CK12" s="40">
        <v>4176700</v>
      </c>
      <c r="CL12" s="40">
        <f>SUM(CI12,CK12)</f>
        <v>4176700</v>
      </c>
      <c r="CM12" s="67"/>
      <c r="CN12" s="85">
        <v>43814</v>
      </c>
      <c r="CO12" s="40"/>
      <c r="CP12" s="87"/>
      <c r="CQ12" s="40">
        <v>2537162.5</v>
      </c>
      <c r="CR12" s="40">
        <v>0</v>
      </c>
      <c r="CS12" s="40">
        <f>SUM(CO12,CQ12,CR12)</f>
        <v>2537162.5</v>
      </c>
      <c r="CT12" s="40"/>
      <c r="CU12" s="85">
        <v>43814</v>
      </c>
      <c r="CV12" s="40"/>
      <c r="CW12" s="87"/>
      <c r="CX12" s="40">
        <f t="shared" ref="CX12:CX18" si="2">(CV12+CY12)*CW12/2+CX13</f>
        <v>2055888.75</v>
      </c>
      <c r="CY12" s="40"/>
      <c r="CZ12" s="40">
        <f t="shared" ref="CZ12:CZ72" si="3">SUM(CV12,CX12,CY12)</f>
        <v>2055888.75</v>
      </c>
      <c r="DA12" s="85"/>
      <c r="DB12" s="85">
        <v>43814</v>
      </c>
      <c r="DG12" s="67"/>
      <c r="DH12" s="85">
        <v>43814</v>
      </c>
      <c r="DI12" s="40">
        <v>255000</v>
      </c>
      <c r="DJ12" s="87">
        <v>5.5E-2</v>
      </c>
      <c r="DK12" s="40">
        <v>2239737.5</v>
      </c>
      <c r="DL12" s="40">
        <f>SUM(DI12,DK12)</f>
        <v>2494737.5</v>
      </c>
      <c r="DM12" s="67"/>
      <c r="DN12" s="85">
        <v>43814</v>
      </c>
      <c r="DO12" s="40">
        <v>0</v>
      </c>
      <c r="DP12" s="87">
        <v>0</v>
      </c>
      <c r="DQ12" s="40">
        <v>406862.5</v>
      </c>
      <c r="DR12" s="40">
        <f>SUM(DO12,DQ12)</f>
        <v>406862.5</v>
      </c>
      <c r="DS12" s="67"/>
      <c r="DT12" s="85">
        <v>43814</v>
      </c>
      <c r="DU12" s="40">
        <v>779430.75</v>
      </c>
      <c r="DV12" s="87">
        <v>6.1499999999999999E-2</v>
      </c>
      <c r="DW12" s="40">
        <v>0</v>
      </c>
      <c r="DX12" s="40">
        <v>2395569.25</v>
      </c>
      <c r="DY12" s="40">
        <f>SUM(DU12,DW12,DX12)</f>
        <v>3175000</v>
      </c>
      <c r="DZ12" s="67"/>
      <c r="EA12" s="85">
        <v>43814</v>
      </c>
      <c r="EB12" s="40"/>
      <c r="EC12" s="87">
        <v>0</v>
      </c>
      <c r="ED12" s="40">
        <v>0</v>
      </c>
      <c r="EE12" s="40">
        <v>0</v>
      </c>
      <c r="EF12" s="40">
        <f>SUM(EB12,ED12,EE12)</f>
        <v>0</v>
      </c>
      <c r="EG12" s="67"/>
      <c r="EH12" s="85">
        <v>43814</v>
      </c>
      <c r="EI12" s="40"/>
      <c r="EJ12" s="87">
        <v>0</v>
      </c>
      <c r="EK12" s="40">
        <v>0</v>
      </c>
      <c r="EL12" s="40">
        <v>0</v>
      </c>
      <c r="EM12" s="40">
        <f>SUM(EI12,EK12,EL12)</f>
        <v>0</v>
      </c>
      <c r="EN12" s="67"/>
      <c r="EO12" s="85">
        <v>43814</v>
      </c>
      <c r="EP12" s="40"/>
      <c r="EQ12" s="87">
        <v>0</v>
      </c>
      <c r="ER12" s="40">
        <v>0</v>
      </c>
      <c r="ES12" s="40">
        <v>0</v>
      </c>
      <c r="ET12" s="40">
        <f>SUM(EP12,ER12,ES12)</f>
        <v>0</v>
      </c>
    </row>
    <row r="13" spans="1:150" x14ac:dyDescent="0.4">
      <c r="A13" s="118">
        <v>43997</v>
      </c>
      <c r="B13" s="85">
        <v>44012</v>
      </c>
      <c r="C13" s="86">
        <f t="shared" ref="C13:C53" si="4">VLOOKUP(A13,TotalEPB_DS,13,FALSE)</f>
        <v>190646046.76999998</v>
      </c>
      <c r="D13" s="40">
        <f t="shared" ref="D13:D53" si="5">VLOOKUP(A13,SeriesTotalEPB_DS,6,FALSE)-C13</f>
        <v>0</v>
      </c>
      <c r="F13" s="85">
        <v>44012</v>
      </c>
      <c r="G13" s="85"/>
      <c r="H13" s="85">
        <v>43997</v>
      </c>
      <c r="I13" s="40">
        <f>SUM(Y12:Y13,AG12:AG13,AO12:AO13,AV12:AV13,BC12:BC13,BI12:BI13,BO12:BO13,BV12:BV13,CB12:CB13,CI12:CI13,CO12:CO13,CV12:CV13,DC12:DC13,DI12:DI13,DO12:DO13,DU12:DU13,EB12:EB13,EI12:EI13,EP12:EP13)</f>
        <v>15294563.199999999</v>
      </c>
      <c r="J13" s="40">
        <f>SUM(AA12:AA13,AI12:AI13,AQ12:AQ13,AX12:AX13,BE12:BE13,BK12:BK13,BQ12:BQ13,BX12:BX13,CD12:CD13,CK12:CK13,CQ12:CQ13,CX12:CX13,DE12:DE13,DK12:DK13,DQ12:DQ13,DW12:DW13,ED12:ED13,EK12:EK13,ER12:ER13)</f>
        <v>118381046.77</v>
      </c>
      <c r="K13" s="40">
        <f>SUM(AB12:AB13,AJ12:AJ13,AR12:AR13,AY12:AY13,BR12:BR13,CE12:CE13,CR12:CR13,CY12:CY13,DX12:DX13,EE12:EE13,EL12:EL13,ES12:ES13)</f>
        <v>56970436.799999997</v>
      </c>
      <c r="L13" s="40">
        <f>SUM(AC12:AC13,AK12:AK13)</f>
        <v>0</v>
      </c>
      <c r="M13" s="40">
        <f>SUM(I13:L13)</f>
        <v>190646046.76999998</v>
      </c>
      <c r="O13" s="85">
        <v>44012</v>
      </c>
      <c r="P13" s="85"/>
      <c r="Q13" s="85">
        <v>43997</v>
      </c>
      <c r="R13" s="40">
        <f>SUM(Y13,AG13,AO13,AV13,BC13,BI13,BO13,BV13,CB13,CI13,CO13,CV13,DC13,DI13,DO13,DU13,EB13,EI13,EP13)</f>
        <v>13920132.449999999</v>
      </c>
      <c r="S13" s="40">
        <f>SUM(AA13,AI13,AQ13,AX13,BE13,BK13,BQ13,BX13,CD13,CK13,CQ13,CX13,DE13,DK13,DQ13,DW13,ED13,EK13,ER13)</f>
        <v>59450183.019999996</v>
      </c>
      <c r="T13" s="40">
        <f>SUM(AB13,AJ13,AR13,AY13,BR13,CE13,CR13,CY13,DX13,EE13,EL13,ES13)</f>
        <v>54574867.549999997</v>
      </c>
      <c r="U13" s="40">
        <f>SUM(AC13,AK13)</f>
        <v>0</v>
      </c>
      <c r="V13" s="40">
        <f>SUM(R13:U13)</f>
        <v>127945183.02</v>
      </c>
      <c r="X13" s="85">
        <v>43997</v>
      </c>
      <c r="Y13" s="40"/>
      <c r="Z13" s="101"/>
      <c r="AA13" s="40">
        <f>531431.77</f>
        <v>531431.77</v>
      </c>
      <c r="AB13" s="40"/>
      <c r="AC13" s="40"/>
      <c r="AD13" s="40">
        <f>SUM(Y13,AA13,AB13,AC13)</f>
        <v>531431.77</v>
      </c>
      <c r="AF13" s="85">
        <v>43997</v>
      </c>
      <c r="AG13" s="40">
        <v>0</v>
      </c>
      <c r="AH13" s="101"/>
      <c r="AI13" s="40">
        <v>4750125</v>
      </c>
      <c r="AJ13" s="40">
        <v>0</v>
      </c>
      <c r="AK13" s="40"/>
      <c r="AL13" s="40">
        <f t="shared" ref="AL13:AL76" si="6">SUM(AG13,AI13,AJ13,AK13)</f>
        <v>4750125</v>
      </c>
      <c r="AN13" s="85">
        <v>43997</v>
      </c>
      <c r="AO13" s="40">
        <v>0</v>
      </c>
      <c r="AQ13" s="40">
        <v>1460250</v>
      </c>
      <c r="AR13" s="40">
        <v>0</v>
      </c>
      <c r="AS13" s="40">
        <f t="shared" ref="AS13:AS76" si="7">SUM(AO13,AQ13,AR13)</f>
        <v>1460250</v>
      </c>
      <c r="AU13" s="85">
        <v>43997</v>
      </c>
      <c r="AV13" s="40">
        <v>0</v>
      </c>
      <c r="AW13" s="40"/>
      <c r="AX13" s="40">
        <v>3425625</v>
      </c>
      <c r="AY13" s="40">
        <v>0</v>
      </c>
      <c r="AZ13" s="40">
        <f t="shared" ref="AZ13:AZ76" si="8">SUM(AV13,AX13,AY13)</f>
        <v>3425625</v>
      </c>
      <c r="BB13" s="85">
        <v>43997</v>
      </c>
      <c r="BC13" s="40">
        <v>0</v>
      </c>
      <c r="BD13" s="40"/>
      <c r="BE13" s="40">
        <v>1655375</v>
      </c>
      <c r="BF13" s="40">
        <f t="shared" ref="BF13:BF76" si="9">SUM(BC13,BE13)</f>
        <v>1655375</v>
      </c>
      <c r="BH13" s="85">
        <v>43997</v>
      </c>
      <c r="BI13" s="40">
        <v>0</v>
      </c>
      <c r="BJ13" s="87">
        <v>0</v>
      </c>
      <c r="BK13" s="40">
        <f t="shared" si="0"/>
        <v>2426875</v>
      </c>
      <c r="BL13" s="40">
        <f t="shared" ref="BL13:BL76" si="10">SUM(BI13,BK13)</f>
        <v>2426875</v>
      </c>
      <c r="BN13" s="85">
        <v>43997</v>
      </c>
      <c r="BO13" s="40">
        <v>0</v>
      </c>
      <c r="BP13" s="87">
        <v>0</v>
      </c>
      <c r="BQ13" s="40">
        <v>15521437.5</v>
      </c>
      <c r="BR13" s="40">
        <v>0</v>
      </c>
      <c r="BS13" s="40">
        <f t="shared" si="1"/>
        <v>15521437.5</v>
      </c>
      <c r="BT13" s="67"/>
      <c r="BU13" s="85">
        <v>43997</v>
      </c>
      <c r="BW13" s="87"/>
      <c r="BZ13" s="67"/>
      <c r="CA13" s="85">
        <v>43997</v>
      </c>
      <c r="CB13" s="40">
        <v>0</v>
      </c>
      <c r="CC13" s="87">
        <v>0</v>
      </c>
      <c r="CD13" s="40">
        <v>18269725</v>
      </c>
      <c r="CE13" s="40">
        <v>0</v>
      </c>
      <c r="CF13" s="40">
        <f t="shared" ref="CF13:CF76" si="11">SUM(CB13,CD13,CE13)</f>
        <v>18269725</v>
      </c>
      <c r="CG13" s="67"/>
      <c r="CH13" s="85">
        <v>43997</v>
      </c>
      <c r="CI13" s="40"/>
      <c r="CJ13" s="87">
        <v>0</v>
      </c>
      <c r="CK13" s="40">
        <v>4176700</v>
      </c>
      <c r="CL13" s="40">
        <f t="shared" ref="CL13:CL76" si="12">SUM(CI13,CK13)</f>
        <v>4176700</v>
      </c>
      <c r="CM13" s="67"/>
      <c r="CN13" s="85">
        <v>43997</v>
      </c>
      <c r="CO13" s="40"/>
      <c r="CP13" s="87"/>
      <c r="CQ13" s="40">
        <v>2537162.5</v>
      </c>
      <c r="CR13" s="40">
        <v>0</v>
      </c>
      <c r="CS13" s="40">
        <f t="shared" ref="CS13:CS76" si="13">SUM(CO13,CQ13,CR13)</f>
        <v>2537162.5</v>
      </c>
      <c r="CT13" s="40"/>
      <c r="CU13" s="85">
        <v>43997</v>
      </c>
      <c r="CV13" s="40"/>
      <c r="CW13" s="87"/>
      <c r="CX13" s="40">
        <f t="shared" si="2"/>
        <v>2055888.75</v>
      </c>
      <c r="CY13" s="40"/>
      <c r="CZ13" s="40">
        <f t="shared" si="3"/>
        <v>2055888.75</v>
      </c>
      <c r="DA13" s="85"/>
      <c r="DB13" s="85">
        <v>43997</v>
      </c>
      <c r="DG13" s="67"/>
      <c r="DH13" s="85">
        <v>43997</v>
      </c>
      <c r="DI13" s="40">
        <v>290000</v>
      </c>
      <c r="DJ13" s="87">
        <v>5.5E-2</v>
      </c>
      <c r="DK13" s="40">
        <v>2232725</v>
      </c>
      <c r="DL13" s="40">
        <f t="shared" ref="DL13:DL76" si="14">SUM(DI13,DK13)</f>
        <v>2522725</v>
      </c>
      <c r="DM13" s="67"/>
      <c r="DN13" s="85">
        <v>43997</v>
      </c>
      <c r="DO13" s="40">
        <v>2850000</v>
      </c>
      <c r="DP13" s="87">
        <v>5.5E-2</v>
      </c>
      <c r="DQ13" s="40">
        <v>406862.5</v>
      </c>
      <c r="DR13" s="40">
        <f t="shared" ref="DR13:DR76" si="15">SUM(DO13,DQ13)</f>
        <v>3256862.5</v>
      </c>
      <c r="DS13" s="67"/>
      <c r="DT13" s="85">
        <v>43997</v>
      </c>
      <c r="DU13" s="40">
        <v>0</v>
      </c>
      <c r="DV13" s="87">
        <v>0</v>
      </c>
      <c r="DW13" s="40">
        <v>0</v>
      </c>
      <c r="DX13" s="40">
        <v>0</v>
      </c>
      <c r="DY13" s="40">
        <f t="shared" ref="DY13:DY76" si="16">SUM(DU13,DW13,DX13)</f>
        <v>0</v>
      </c>
      <c r="DZ13" s="67"/>
      <c r="EA13" s="85">
        <v>43997</v>
      </c>
      <c r="EB13" s="40">
        <v>535182.5</v>
      </c>
      <c r="EC13" s="87">
        <v>6.7000000000000004E-2</v>
      </c>
      <c r="ED13" s="40">
        <v>0</v>
      </c>
      <c r="EE13" s="40">
        <v>2429817.5</v>
      </c>
      <c r="EF13" s="40">
        <f t="shared" ref="EF13:EF76" si="17">SUM(EB13,ED13,EE13)</f>
        <v>2965000</v>
      </c>
      <c r="EG13" s="67"/>
      <c r="EH13" s="85">
        <v>43997</v>
      </c>
      <c r="EI13" s="40">
        <v>1497247.5</v>
      </c>
      <c r="EJ13" s="87">
        <v>6.7000000000000004E-2</v>
      </c>
      <c r="EK13" s="40">
        <v>0</v>
      </c>
      <c r="EL13" s="40">
        <v>6797752.5</v>
      </c>
      <c r="EM13" s="40">
        <f t="shared" ref="EM13:EM76" si="18">SUM(EI13,EK13,EL13)</f>
        <v>8295000</v>
      </c>
      <c r="EN13" s="67"/>
      <c r="EO13" s="85">
        <v>43997</v>
      </c>
      <c r="EP13" s="40">
        <v>8747702.4499999993</v>
      </c>
      <c r="EQ13" s="87">
        <v>6.7500000000000004E-2</v>
      </c>
      <c r="ER13" s="40">
        <v>0</v>
      </c>
      <c r="ES13" s="40">
        <v>45347297.549999997</v>
      </c>
      <c r="ET13" s="40">
        <f t="shared" ref="ET13:ET76" si="19">SUM(EP13,ER13,ES13)</f>
        <v>54095000</v>
      </c>
    </row>
    <row r="14" spans="1:150" x14ac:dyDescent="0.4">
      <c r="A14" s="118">
        <f>EDATE(A13,12)</f>
        <v>44362</v>
      </c>
      <c r="B14" s="85">
        <v>44377</v>
      </c>
      <c r="C14" s="86">
        <f t="shared" si="4"/>
        <v>245870696.25</v>
      </c>
      <c r="D14" s="40">
        <f t="shared" si="5"/>
        <v>0</v>
      </c>
      <c r="E14" s="40"/>
      <c r="F14" s="85">
        <v>44196</v>
      </c>
      <c r="G14" s="85"/>
      <c r="H14" s="85">
        <v>44180</v>
      </c>
      <c r="I14" s="40"/>
      <c r="N14" s="40"/>
      <c r="O14" s="85">
        <v>44196</v>
      </c>
      <c r="P14" s="85"/>
      <c r="Q14" s="85">
        <v>44180</v>
      </c>
      <c r="R14" s="40">
        <f t="shared" ref="R14:R77" si="20">SUM(Y14,AG14,AO14,AV14,BC14,BI14,BO14,BV14,CB14,CI14,CO14,CV14,DC14,DI14,DO14,DU14,EB14,EI14,EP14)</f>
        <v>68846968.599999994</v>
      </c>
      <c r="S14" s="40">
        <f t="shared" ref="S14:S77" si="21">SUM(AA14,AI14,AQ14,AX14,BE14,BK14,BQ14,BX14,CD14,CK14,CQ14,CX14,DE14,DK14,DQ14,DW14,ED14,EK14,ER14)</f>
        <v>59349470</v>
      </c>
      <c r="T14" s="40">
        <f t="shared" ref="T14:T77" si="22">SUM(AB14,AJ14,AR14,AY14,BR14,CE14,CR14,CY14,DX14,EE14,EL14,ES14)</f>
        <v>12833031.4</v>
      </c>
      <c r="U14" s="40">
        <f t="shared" ref="U14:U77" si="23">SUM(AC14,AK14)</f>
        <v>0</v>
      </c>
      <c r="V14" s="40">
        <f t="shared" ref="V14:V77" si="24">SUM(R14:U14)</f>
        <v>141029470</v>
      </c>
      <c r="X14" s="85">
        <v>44180</v>
      </c>
      <c r="Y14" s="40">
        <v>11705000</v>
      </c>
      <c r="Z14" s="101">
        <v>2.75E-2</v>
      </c>
      <c r="AA14" s="40">
        <f t="shared" ref="AA14:AA52" si="25">(Y14+AB14)*Z14/2+AA15</f>
        <v>517068.75</v>
      </c>
      <c r="AB14" s="40"/>
      <c r="AC14" s="40"/>
      <c r="AD14" s="40">
        <f>SUM(Y14,AA14,AB14,AC14)</f>
        <v>12222068.75</v>
      </c>
      <c r="AF14" s="85">
        <v>44180</v>
      </c>
      <c r="AG14" s="40">
        <v>0</v>
      </c>
      <c r="AH14" s="101"/>
      <c r="AI14" s="40">
        <v>4750125</v>
      </c>
      <c r="AJ14" s="40">
        <v>0</v>
      </c>
      <c r="AK14" s="40"/>
      <c r="AL14" s="40">
        <f t="shared" si="6"/>
        <v>4750125</v>
      </c>
      <c r="AN14" s="85">
        <v>44180</v>
      </c>
      <c r="AO14" s="40">
        <v>0</v>
      </c>
      <c r="AQ14" s="40">
        <v>1460250</v>
      </c>
      <c r="AR14" s="40">
        <v>0</v>
      </c>
      <c r="AS14" s="40">
        <f t="shared" si="7"/>
        <v>1460250</v>
      </c>
      <c r="AU14" s="85">
        <v>44180</v>
      </c>
      <c r="AV14" s="40">
        <v>0</v>
      </c>
      <c r="AW14" s="40"/>
      <c r="AX14" s="40">
        <v>3425625</v>
      </c>
      <c r="AY14" s="40">
        <v>0</v>
      </c>
      <c r="AZ14" s="40">
        <f t="shared" si="8"/>
        <v>3425625</v>
      </c>
      <c r="BB14" s="85">
        <v>44180</v>
      </c>
      <c r="BC14" s="40">
        <v>0</v>
      </c>
      <c r="BD14" s="40"/>
      <c r="BE14" s="40">
        <v>1655375</v>
      </c>
      <c r="BF14" s="40">
        <f t="shared" si="9"/>
        <v>1655375</v>
      </c>
      <c r="BH14" s="85">
        <v>44180</v>
      </c>
      <c r="BI14" s="40">
        <v>0</v>
      </c>
      <c r="BJ14" s="87">
        <v>0</v>
      </c>
      <c r="BK14" s="40">
        <f t="shared" si="0"/>
        <v>2426875</v>
      </c>
      <c r="BL14" s="40">
        <f t="shared" si="10"/>
        <v>2426875</v>
      </c>
      <c r="BN14" s="85">
        <v>44180</v>
      </c>
      <c r="BO14" s="40">
        <v>51545000</v>
      </c>
      <c r="BP14" s="87">
        <v>0.05</v>
      </c>
      <c r="BQ14" s="40">
        <v>15521437.5</v>
      </c>
      <c r="BR14" s="40">
        <v>0</v>
      </c>
      <c r="BS14" s="40">
        <f t="shared" si="1"/>
        <v>67066437.5</v>
      </c>
      <c r="BT14" s="67"/>
      <c r="BU14" s="85">
        <v>44180</v>
      </c>
      <c r="BW14" s="87"/>
      <c r="BZ14" s="67"/>
      <c r="CA14" s="85">
        <v>44180</v>
      </c>
      <c r="CB14" s="40">
        <v>0</v>
      </c>
      <c r="CC14" s="87">
        <v>0</v>
      </c>
      <c r="CD14" s="40">
        <v>18269725</v>
      </c>
      <c r="CE14" s="40">
        <v>0</v>
      </c>
      <c r="CF14" s="40">
        <f t="shared" si="11"/>
        <v>18269725</v>
      </c>
      <c r="CG14" s="67"/>
      <c r="CH14" s="85">
        <v>44180</v>
      </c>
      <c r="CI14" s="40"/>
      <c r="CJ14" s="87">
        <v>0</v>
      </c>
      <c r="CK14" s="40">
        <v>4176700</v>
      </c>
      <c r="CL14" s="40">
        <f t="shared" si="12"/>
        <v>4176700</v>
      </c>
      <c r="CM14" s="67"/>
      <c r="CN14" s="85">
        <v>44180</v>
      </c>
      <c r="CO14" s="40"/>
      <c r="CP14" s="87"/>
      <c r="CQ14" s="40">
        <v>2537162.5</v>
      </c>
      <c r="CR14" s="40">
        <v>0</v>
      </c>
      <c r="CS14" s="40">
        <f t="shared" si="13"/>
        <v>2537162.5</v>
      </c>
      <c r="CT14" s="40"/>
      <c r="CU14" s="85">
        <v>44180</v>
      </c>
      <c r="CV14" s="40"/>
      <c r="CW14" s="87"/>
      <c r="CX14" s="40">
        <f t="shared" si="2"/>
        <v>2055888.75</v>
      </c>
      <c r="CY14" s="40"/>
      <c r="CZ14" s="40">
        <f t="shared" si="3"/>
        <v>2055888.75</v>
      </c>
      <c r="DA14" s="85"/>
      <c r="DB14" s="85">
        <v>44180</v>
      </c>
      <c r="DG14" s="67"/>
      <c r="DH14" s="85">
        <v>44180</v>
      </c>
      <c r="DI14" s="40">
        <v>1770000</v>
      </c>
      <c r="DJ14" s="87">
        <v>5.5E-2</v>
      </c>
      <c r="DK14" s="40">
        <v>2224750</v>
      </c>
      <c r="DL14" s="40">
        <f t="shared" si="14"/>
        <v>3994750</v>
      </c>
      <c r="DM14" s="67"/>
      <c r="DN14" s="85">
        <v>44180</v>
      </c>
      <c r="DO14" s="40">
        <v>0</v>
      </c>
      <c r="DP14" s="87">
        <v>0</v>
      </c>
      <c r="DQ14" s="40">
        <v>328487.5</v>
      </c>
      <c r="DR14" s="40">
        <f t="shared" si="15"/>
        <v>328487.5</v>
      </c>
      <c r="DS14" s="67"/>
      <c r="DT14" s="85">
        <v>44180</v>
      </c>
      <c r="DU14" s="40">
        <v>3826968.6</v>
      </c>
      <c r="DV14" s="87">
        <v>6.1749999999999999E-2</v>
      </c>
      <c r="DW14" s="40">
        <v>0</v>
      </c>
      <c r="DX14" s="40">
        <v>12833031.4</v>
      </c>
      <c r="DY14" s="40">
        <f t="shared" si="16"/>
        <v>16660000</v>
      </c>
      <c r="DZ14" s="67"/>
      <c r="EA14" s="85">
        <v>44180</v>
      </c>
      <c r="EB14" s="40"/>
      <c r="EC14" s="87">
        <v>0</v>
      </c>
      <c r="ED14" s="40">
        <v>0</v>
      </c>
      <c r="EE14" s="40">
        <v>0</v>
      </c>
      <c r="EF14" s="40">
        <f t="shared" si="17"/>
        <v>0</v>
      </c>
      <c r="EG14" s="67"/>
      <c r="EH14" s="85">
        <v>44180</v>
      </c>
      <c r="EI14" s="40"/>
      <c r="EJ14" s="87">
        <v>0</v>
      </c>
      <c r="EK14" s="40">
        <v>0</v>
      </c>
      <c r="EL14" s="40">
        <v>0</v>
      </c>
      <c r="EM14" s="40">
        <f t="shared" si="18"/>
        <v>0</v>
      </c>
      <c r="EN14" s="67"/>
      <c r="EO14" s="85">
        <v>44180</v>
      </c>
      <c r="EP14" s="40"/>
      <c r="EQ14" s="87">
        <v>0</v>
      </c>
      <c r="ER14" s="40">
        <v>0</v>
      </c>
      <c r="ES14" s="40">
        <v>0</v>
      </c>
      <c r="ET14" s="40">
        <f t="shared" si="19"/>
        <v>0</v>
      </c>
    </row>
    <row r="15" spans="1:150" x14ac:dyDescent="0.4">
      <c r="A15" s="118">
        <f t="shared" ref="A15:A53" si="26">EDATE(A14,12)</f>
        <v>44727</v>
      </c>
      <c r="B15" s="85">
        <v>44742</v>
      </c>
      <c r="C15" s="86">
        <f t="shared" si="4"/>
        <v>259948102.5</v>
      </c>
      <c r="D15" s="40">
        <f t="shared" si="5"/>
        <v>0</v>
      </c>
      <c r="E15" s="40"/>
      <c r="F15" s="85">
        <v>44377</v>
      </c>
      <c r="G15" s="85"/>
      <c r="H15" s="85">
        <v>44362</v>
      </c>
      <c r="I15" s="40">
        <f>SUM(Y14:Y15,AG14:AG15,AO14:AO15,AV14:AV15,BC14:BC15,BI14:BI15,BO14:BO15,BV14:BV15,CB14:CB15,CI14:CI15,CO14:CO15,CV14:CV15,DC14:DC15,DI14:DI15,DO14:DO15,DU14:DU15,EB14:EB15,EI14:EI15,EP14:EP15)</f>
        <v>77730760.999999985</v>
      </c>
      <c r="J15" s="40">
        <f>SUM(AA14:AA15,AI14:AI15,AQ14:AQ15,AX14:AX15,BE14:BE15,BK14:BK15,BQ14:BQ15,BX14:BX15,CD14:CD15,CK14:CK15,CQ14:CQ15,CX14:CX15,DE14:DE15,DK14:DK15,DQ14:DQ15,DW14:DW15,ED14:ED15,EK14:EK15,ER14:ER15)</f>
        <v>117200696.25</v>
      </c>
      <c r="K15" s="40">
        <f>SUM(AB14:AB15,AJ14:AJ15,AR14:AR15,AY14:AY15,BR14:BR15,CE14:CE15,CR14:CR15,CY14:CY15,DX14:DX15,EE14:EE15,EL14:EL15,ES14:ES15)</f>
        <v>50939239</v>
      </c>
      <c r="L15" s="40">
        <f>SUM(AC14:AC15,AK14:AK15)</f>
        <v>0</v>
      </c>
      <c r="M15" s="40">
        <f>SUM(I15:L15)</f>
        <v>245870696.25</v>
      </c>
      <c r="N15" s="40"/>
      <c r="O15" s="85">
        <v>44377</v>
      </c>
      <c r="P15" s="85"/>
      <c r="Q15" s="85">
        <v>44362</v>
      </c>
      <c r="R15" s="40">
        <f t="shared" si="20"/>
        <v>8883792.4000000004</v>
      </c>
      <c r="S15" s="40">
        <f t="shared" si="21"/>
        <v>57851226.25</v>
      </c>
      <c r="T15" s="40">
        <f t="shared" si="22"/>
        <v>38106207.600000001</v>
      </c>
      <c r="U15" s="40">
        <f t="shared" si="23"/>
        <v>0</v>
      </c>
      <c r="V15" s="40">
        <f t="shared" si="24"/>
        <v>104841226.25</v>
      </c>
      <c r="X15" s="85">
        <v>44362</v>
      </c>
      <c r="Y15" s="40"/>
      <c r="Z15" s="101"/>
      <c r="AA15" s="40">
        <f t="shared" si="25"/>
        <v>356125</v>
      </c>
      <c r="AB15" s="40"/>
      <c r="AC15" s="40"/>
      <c r="AD15" s="40">
        <f>SUM(Y15,AA15,AB15,AC15)</f>
        <v>356125</v>
      </c>
      <c r="AF15" s="85">
        <v>44362</v>
      </c>
      <c r="AG15" s="40">
        <v>0</v>
      </c>
      <c r="AH15" s="101"/>
      <c r="AI15" s="40">
        <v>4750125</v>
      </c>
      <c r="AJ15" s="40">
        <v>0</v>
      </c>
      <c r="AK15" s="40"/>
      <c r="AL15" s="40">
        <f t="shared" si="6"/>
        <v>4750125</v>
      </c>
      <c r="AN15" s="85">
        <v>44362</v>
      </c>
      <c r="AO15" s="40">
        <v>0</v>
      </c>
      <c r="AQ15" s="40">
        <v>1460250</v>
      </c>
      <c r="AR15" s="40">
        <v>0</v>
      </c>
      <c r="AS15" s="40">
        <f t="shared" si="7"/>
        <v>1460250</v>
      </c>
      <c r="AU15" s="85">
        <v>44362</v>
      </c>
      <c r="AV15" s="40">
        <v>0</v>
      </c>
      <c r="AW15" s="40"/>
      <c r="AX15" s="40">
        <v>3425625</v>
      </c>
      <c r="AY15" s="40">
        <v>0</v>
      </c>
      <c r="AZ15" s="40">
        <f t="shared" si="8"/>
        <v>3425625</v>
      </c>
      <c r="BB15" s="85">
        <v>44362</v>
      </c>
      <c r="BC15" s="40">
        <v>0</v>
      </c>
      <c r="BD15" s="40"/>
      <c r="BE15" s="40">
        <v>1655375</v>
      </c>
      <c r="BF15" s="40">
        <f t="shared" si="9"/>
        <v>1655375</v>
      </c>
      <c r="BH15" s="85">
        <v>44362</v>
      </c>
      <c r="BI15" s="40">
        <v>0</v>
      </c>
      <c r="BJ15" s="87">
        <v>0</v>
      </c>
      <c r="BK15" s="40">
        <f t="shared" si="0"/>
        <v>2426875</v>
      </c>
      <c r="BL15" s="40">
        <f t="shared" si="10"/>
        <v>2426875</v>
      </c>
      <c r="BN15" s="85">
        <v>44362</v>
      </c>
      <c r="BO15" s="40">
        <v>0</v>
      </c>
      <c r="BP15" s="87">
        <v>0</v>
      </c>
      <c r="BQ15" s="40">
        <v>14232812.5</v>
      </c>
      <c r="BR15" s="40">
        <v>0</v>
      </c>
      <c r="BS15" s="40">
        <f t="shared" si="1"/>
        <v>14232812.5</v>
      </c>
      <c r="BT15" s="67"/>
      <c r="BU15" s="85">
        <v>44362</v>
      </c>
      <c r="BW15" s="87"/>
      <c r="BZ15" s="67"/>
      <c r="CA15" s="85">
        <v>44362</v>
      </c>
      <c r="CB15" s="40">
        <v>0</v>
      </c>
      <c r="CC15" s="87">
        <v>0</v>
      </c>
      <c r="CD15" s="40">
        <v>18269725</v>
      </c>
      <c r="CE15" s="40">
        <v>0</v>
      </c>
      <c r="CF15" s="40">
        <f t="shared" si="11"/>
        <v>18269725</v>
      </c>
      <c r="CG15" s="67"/>
      <c r="CH15" s="85">
        <v>44362</v>
      </c>
      <c r="CI15" s="40"/>
      <c r="CJ15" s="87">
        <v>0</v>
      </c>
      <c r="CK15" s="40">
        <v>4176700</v>
      </c>
      <c r="CL15" s="40">
        <f t="shared" si="12"/>
        <v>4176700</v>
      </c>
      <c r="CM15" s="67"/>
      <c r="CN15" s="85">
        <v>44362</v>
      </c>
      <c r="CO15" s="40"/>
      <c r="CP15" s="87"/>
      <c r="CQ15" s="40">
        <v>2537162.5</v>
      </c>
      <c r="CR15" s="40">
        <v>0</v>
      </c>
      <c r="CS15" s="40">
        <f t="shared" si="13"/>
        <v>2537162.5</v>
      </c>
      <c r="CT15" s="40"/>
      <c r="CU15" s="85">
        <v>44362</v>
      </c>
      <c r="CV15" s="40"/>
      <c r="CW15" s="87"/>
      <c r="CX15" s="40">
        <f t="shared" si="2"/>
        <v>2055888.75</v>
      </c>
      <c r="CY15" s="40"/>
      <c r="CZ15" s="40">
        <f t="shared" si="3"/>
        <v>2055888.75</v>
      </c>
      <c r="DA15" s="85"/>
      <c r="DB15" s="85">
        <v>44362</v>
      </c>
      <c r="DG15" s="67"/>
      <c r="DH15" s="85">
        <v>44362</v>
      </c>
      <c r="DI15" s="40">
        <v>925000</v>
      </c>
      <c r="DJ15" s="87">
        <v>5.5E-2</v>
      </c>
      <c r="DK15" s="40">
        <v>2176075</v>
      </c>
      <c r="DL15" s="40">
        <f t="shared" si="14"/>
        <v>3101075</v>
      </c>
      <c r="DM15" s="67"/>
      <c r="DN15" s="85">
        <v>44362</v>
      </c>
      <c r="DO15" s="40">
        <v>930000</v>
      </c>
      <c r="DP15" s="87">
        <v>5.5E-2</v>
      </c>
      <c r="DQ15" s="40">
        <v>328487.5</v>
      </c>
      <c r="DR15" s="40">
        <f t="shared" si="15"/>
        <v>1258487.5</v>
      </c>
      <c r="DS15" s="67"/>
      <c r="DT15" s="85">
        <v>44362</v>
      </c>
      <c r="DU15" s="40">
        <v>0</v>
      </c>
      <c r="DV15" s="87">
        <v>0</v>
      </c>
      <c r="DW15" s="40">
        <v>0</v>
      </c>
      <c r="DX15" s="40">
        <v>0</v>
      </c>
      <c r="DY15" s="40">
        <f t="shared" si="16"/>
        <v>0</v>
      </c>
      <c r="DZ15" s="67"/>
      <c r="EA15" s="85">
        <v>44362</v>
      </c>
      <c r="EB15" s="40">
        <v>501055.35</v>
      </c>
      <c r="EC15" s="87">
        <v>6.7000000000000004E-2</v>
      </c>
      <c r="ED15" s="40">
        <v>0</v>
      </c>
      <c r="EE15" s="40">
        <v>2463944.65</v>
      </c>
      <c r="EF15" s="40">
        <f t="shared" si="17"/>
        <v>2965000</v>
      </c>
      <c r="EG15" s="67"/>
      <c r="EH15" s="85">
        <v>44362</v>
      </c>
      <c r="EI15" s="40">
        <v>1401772.05</v>
      </c>
      <c r="EJ15" s="87">
        <v>6.7000000000000004E-2</v>
      </c>
      <c r="EK15" s="40">
        <v>0</v>
      </c>
      <c r="EL15" s="40">
        <v>6893227.9500000002</v>
      </c>
      <c r="EM15" s="40">
        <f t="shared" si="18"/>
        <v>8295000</v>
      </c>
      <c r="EN15" s="67"/>
      <c r="EO15" s="85">
        <v>44362</v>
      </c>
      <c r="EP15" s="40">
        <v>5125965</v>
      </c>
      <c r="EQ15" s="87">
        <v>6.7500000000000004E-2</v>
      </c>
      <c r="ER15" s="40">
        <v>0</v>
      </c>
      <c r="ES15" s="40">
        <v>28749035</v>
      </c>
      <c r="ET15" s="40">
        <f t="shared" si="19"/>
        <v>33875000</v>
      </c>
    </row>
    <row r="16" spans="1:150" x14ac:dyDescent="0.4">
      <c r="A16" s="118">
        <f t="shared" si="26"/>
        <v>45092</v>
      </c>
      <c r="B16" s="85">
        <v>45107</v>
      </c>
      <c r="C16" s="86">
        <f t="shared" si="4"/>
        <v>274948635</v>
      </c>
      <c r="D16" s="40">
        <f t="shared" si="5"/>
        <v>0</v>
      </c>
      <c r="E16" s="40"/>
      <c r="F16" s="85">
        <v>44561</v>
      </c>
      <c r="G16" s="85"/>
      <c r="H16" s="85">
        <v>44545</v>
      </c>
      <c r="I16" s="40"/>
      <c r="N16" s="40"/>
      <c r="O16" s="85">
        <v>44561</v>
      </c>
      <c r="P16" s="85"/>
      <c r="Q16" s="85">
        <v>44545</v>
      </c>
      <c r="R16" s="40">
        <f t="shared" si="20"/>
        <v>13457848</v>
      </c>
      <c r="S16" s="40">
        <f t="shared" si="21"/>
        <v>57800213.75</v>
      </c>
      <c r="T16" s="40">
        <f t="shared" si="22"/>
        <v>39427152</v>
      </c>
      <c r="U16" s="40">
        <f t="shared" si="23"/>
        <v>0</v>
      </c>
      <c r="V16" s="40">
        <f t="shared" si="24"/>
        <v>110685213.75</v>
      </c>
      <c r="X16" s="85">
        <v>44545</v>
      </c>
      <c r="Y16" s="40">
        <v>620000</v>
      </c>
      <c r="Z16" s="101">
        <v>2.75E-2</v>
      </c>
      <c r="AA16" s="40">
        <f t="shared" si="25"/>
        <v>356125</v>
      </c>
      <c r="AB16" s="40"/>
      <c r="AC16" s="40"/>
      <c r="AD16" s="40">
        <f>SUM(Y16,AA16,AB16,AC16)</f>
        <v>976125</v>
      </c>
      <c r="AF16" s="85">
        <v>44545</v>
      </c>
      <c r="AG16" s="40">
        <v>0</v>
      </c>
      <c r="AH16" s="101"/>
      <c r="AI16" s="40">
        <v>4750125</v>
      </c>
      <c r="AJ16" s="40">
        <v>0</v>
      </c>
      <c r="AK16" s="40"/>
      <c r="AL16" s="40">
        <f t="shared" si="6"/>
        <v>4750125</v>
      </c>
      <c r="AN16" s="85">
        <v>44545</v>
      </c>
      <c r="AO16" s="40">
        <v>0</v>
      </c>
      <c r="AQ16" s="40">
        <v>1460250</v>
      </c>
      <c r="AR16" s="40">
        <v>0</v>
      </c>
      <c r="AS16" s="40">
        <f t="shared" si="7"/>
        <v>1460250</v>
      </c>
      <c r="AU16" s="85">
        <v>44545</v>
      </c>
      <c r="AV16" s="40">
        <v>0</v>
      </c>
      <c r="AW16" s="40"/>
      <c r="AX16" s="40">
        <v>3425625</v>
      </c>
      <c r="AY16" s="40">
        <v>0</v>
      </c>
      <c r="AZ16" s="40">
        <f t="shared" si="8"/>
        <v>3425625</v>
      </c>
      <c r="BB16" s="85">
        <v>44545</v>
      </c>
      <c r="BC16" s="40">
        <v>0</v>
      </c>
      <c r="BD16" s="40"/>
      <c r="BE16" s="40">
        <v>1655375</v>
      </c>
      <c r="BF16" s="40">
        <f t="shared" si="9"/>
        <v>1655375</v>
      </c>
      <c r="BH16" s="85">
        <v>44545</v>
      </c>
      <c r="BI16" s="40">
        <v>0</v>
      </c>
      <c r="BJ16" s="87">
        <v>0</v>
      </c>
      <c r="BK16" s="40">
        <f t="shared" si="0"/>
        <v>2426875</v>
      </c>
      <c r="BL16" s="40">
        <f t="shared" si="10"/>
        <v>2426875</v>
      </c>
      <c r="BN16" s="85">
        <v>44545</v>
      </c>
      <c r="BO16" s="40">
        <v>95000</v>
      </c>
      <c r="BP16" s="87">
        <v>0.05</v>
      </c>
      <c r="BQ16" s="40">
        <v>14232812.5</v>
      </c>
      <c r="BR16" s="40">
        <v>0</v>
      </c>
      <c r="BS16" s="40">
        <f t="shared" si="1"/>
        <v>14327812.5</v>
      </c>
      <c r="BT16" s="67"/>
      <c r="BU16" s="85">
        <v>44545</v>
      </c>
      <c r="BW16" s="87"/>
      <c r="BZ16" s="67"/>
      <c r="CA16" s="85">
        <v>44545</v>
      </c>
      <c r="CB16" s="40">
        <v>0</v>
      </c>
      <c r="CC16" s="87">
        <v>0</v>
      </c>
      <c r="CD16" s="40">
        <v>18269725</v>
      </c>
      <c r="CE16" s="40">
        <v>0</v>
      </c>
      <c r="CF16" s="40">
        <f t="shared" si="11"/>
        <v>18269725</v>
      </c>
      <c r="CG16" s="67"/>
      <c r="CH16" s="85">
        <v>44545</v>
      </c>
      <c r="CI16" s="40"/>
      <c r="CJ16" s="87">
        <v>0</v>
      </c>
      <c r="CK16" s="40">
        <v>4176700</v>
      </c>
      <c r="CL16" s="40">
        <f t="shared" si="12"/>
        <v>4176700</v>
      </c>
      <c r="CM16" s="67"/>
      <c r="CN16" s="85">
        <v>44545</v>
      </c>
      <c r="CO16" s="40"/>
      <c r="CP16" s="87"/>
      <c r="CQ16" s="40">
        <v>2537162.5</v>
      </c>
      <c r="CR16" s="40">
        <v>0</v>
      </c>
      <c r="CS16" s="40">
        <f t="shared" si="13"/>
        <v>2537162.5</v>
      </c>
      <c r="CT16" s="40"/>
      <c r="CU16" s="85">
        <v>44545</v>
      </c>
      <c r="CV16" s="40"/>
      <c r="CW16" s="87"/>
      <c r="CX16" s="40">
        <f t="shared" si="2"/>
        <v>2055888.75</v>
      </c>
      <c r="CY16" s="40"/>
      <c r="CZ16" s="40">
        <f t="shared" si="3"/>
        <v>2055888.75</v>
      </c>
      <c r="DA16" s="85"/>
      <c r="DB16" s="85">
        <v>44545</v>
      </c>
      <c r="DG16" s="67"/>
      <c r="DH16" s="85">
        <v>44545</v>
      </c>
      <c r="DI16" s="40">
        <v>425000</v>
      </c>
      <c r="DJ16" s="87">
        <v>5.5E-2</v>
      </c>
      <c r="DK16" s="40">
        <v>2150637.5</v>
      </c>
      <c r="DL16" s="40">
        <f t="shared" si="14"/>
        <v>2575637.5</v>
      </c>
      <c r="DM16" s="67"/>
      <c r="DN16" s="85">
        <v>44545</v>
      </c>
      <c r="DO16" s="40">
        <v>1445000</v>
      </c>
      <c r="DP16" s="87">
        <v>5.5E-2</v>
      </c>
      <c r="DQ16" s="40">
        <v>302912.5</v>
      </c>
      <c r="DR16" s="40">
        <f t="shared" si="15"/>
        <v>1747912.5</v>
      </c>
      <c r="DS16" s="67"/>
      <c r="DT16" s="85">
        <v>44545</v>
      </c>
      <c r="DU16" s="40">
        <v>10872848</v>
      </c>
      <c r="DV16" s="87">
        <v>6.1749999999999999E-2</v>
      </c>
      <c r="DW16" s="40">
        <v>0</v>
      </c>
      <c r="DX16" s="40">
        <v>39427152</v>
      </c>
      <c r="DY16" s="40">
        <f t="shared" si="16"/>
        <v>50300000</v>
      </c>
      <c r="DZ16" s="67"/>
      <c r="EA16" s="85">
        <v>44545</v>
      </c>
      <c r="EB16" s="40"/>
      <c r="EC16" s="87">
        <v>0</v>
      </c>
      <c r="ED16" s="40">
        <v>0</v>
      </c>
      <c r="EE16" s="40">
        <v>0</v>
      </c>
      <c r="EF16" s="40">
        <f t="shared" si="17"/>
        <v>0</v>
      </c>
      <c r="EG16" s="67"/>
      <c r="EH16" s="85">
        <v>44545</v>
      </c>
      <c r="EI16" s="40"/>
      <c r="EJ16" s="87">
        <v>0</v>
      </c>
      <c r="EK16" s="40">
        <v>0</v>
      </c>
      <c r="EL16" s="40">
        <v>0</v>
      </c>
      <c r="EM16" s="40">
        <f t="shared" si="18"/>
        <v>0</v>
      </c>
      <c r="EN16" s="67"/>
      <c r="EO16" s="85">
        <v>44545</v>
      </c>
      <c r="ET16" s="40">
        <f t="shared" si="19"/>
        <v>0</v>
      </c>
    </row>
    <row r="17" spans="1:150" x14ac:dyDescent="0.4">
      <c r="A17" s="118">
        <f t="shared" si="26"/>
        <v>45458</v>
      </c>
      <c r="B17" s="85">
        <v>45473</v>
      </c>
      <c r="C17" s="86">
        <f t="shared" si="4"/>
        <v>274876687.5</v>
      </c>
      <c r="D17" s="40">
        <f t="shared" si="5"/>
        <v>0</v>
      </c>
      <c r="F17" s="85">
        <v>44742</v>
      </c>
      <c r="G17" s="85"/>
      <c r="H17" s="85">
        <v>44727</v>
      </c>
      <c r="I17" s="40">
        <f>SUM(Y16:Y17,AG16:AG17,AO16:AO17,AV16:AV17,BC16:BC17,BI16:BI17,BO16:BO17,BV16:BV17,CB16:CB17,CI16:CI17,CO16:CO17,CV16:CV17,DC16:DC17,DI16:DI17,DO16:DO17,DU16:DU17,EB16:EB17,EI16:EI17,EP16:EP17)</f>
        <v>48339996.700000003</v>
      </c>
      <c r="J17" s="40">
        <f>SUM(AA16:AA17,AI16:AI17,AQ16:AQ17,AX16:AX17,BE16:BE17,BK16:BK17,BQ16:BQ17,BX16:BX17,CD16:CD17,CK16:CK17,CQ16:CQ17,CX16:CX17,DE16:DE17,DK16:DK17,DQ16:DQ17,DW16:DW17,ED16:ED17,EK16:EK17,ER16:ER17)</f>
        <v>115538102.5</v>
      </c>
      <c r="K17" s="40">
        <f>SUM(AB16:AB17,AJ16:AJ17,AR16:AR17,AY16:AY17,BR16:BR17,CE16:CE17,CR16:CR17,CY16:CY17,DX16:DX17,EE16:EE17,EL16:EL17,ES16:ES17)</f>
        <v>96070003.300000012</v>
      </c>
      <c r="L17" s="40">
        <f>SUM(AC16:AC17,AK16:AK17)</f>
        <v>0</v>
      </c>
      <c r="M17" s="40">
        <f>SUM(I17:L17)</f>
        <v>259948102.5</v>
      </c>
      <c r="O17" s="85">
        <v>44742</v>
      </c>
      <c r="P17" s="85"/>
      <c r="Q17" s="85">
        <v>44727</v>
      </c>
      <c r="R17" s="40">
        <f t="shared" si="20"/>
        <v>34882148.700000003</v>
      </c>
      <c r="S17" s="40">
        <f t="shared" si="21"/>
        <v>57737888.75</v>
      </c>
      <c r="T17" s="40">
        <f t="shared" si="22"/>
        <v>56642851.299999997</v>
      </c>
      <c r="U17" s="40">
        <f t="shared" si="23"/>
        <v>0</v>
      </c>
      <c r="V17" s="40">
        <f t="shared" si="24"/>
        <v>149262888.75</v>
      </c>
      <c r="X17" s="85">
        <v>44727</v>
      </c>
      <c r="Y17" s="40"/>
      <c r="Z17" s="101"/>
      <c r="AA17" s="40">
        <f t="shared" si="25"/>
        <v>347600</v>
      </c>
      <c r="AB17" s="40"/>
      <c r="AC17" s="40"/>
      <c r="AD17" s="40">
        <f t="shared" ref="AD17:AD72" si="27">SUM(Y17,AA17,AB17,AC17)</f>
        <v>347600</v>
      </c>
      <c r="AF17" s="85">
        <v>44727</v>
      </c>
      <c r="AG17" s="40">
        <v>0</v>
      </c>
      <c r="AH17" s="101"/>
      <c r="AI17" s="40">
        <v>4750125</v>
      </c>
      <c r="AJ17" s="40">
        <v>0</v>
      </c>
      <c r="AK17" s="40"/>
      <c r="AL17" s="40">
        <f t="shared" si="6"/>
        <v>4750125</v>
      </c>
      <c r="AN17" s="85">
        <v>44727</v>
      </c>
      <c r="AO17" s="40">
        <v>0</v>
      </c>
      <c r="AQ17" s="40">
        <v>1460250</v>
      </c>
      <c r="AR17" s="40">
        <v>0</v>
      </c>
      <c r="AS17" s="40">
        <f t="shared" si="7"/>
        <v>1460250</v>
      </c>
      <c r="AU17" s="85">
        <v>44727</v>
      </c>
      <c r="AV17" s="40">
        <v>0</v>
      </c>
      <c r="AW17" s="40"/>
      <c r="AX17" s="40">
        <v>3425625</v>
      </c>
      <c r="AY17" s="40">
        <v>0</v>
      </c>
      <c r="AZ17" s="40">
        <f t="shared" si="8"/>
        <v>3425625</v>
      </c>
      <c r="BB17" s="85">
        <v>44727</v>
      </c>
      <c r="BC17" s="40">
        <v>0</v>
      </c>
      <c r="BD17" s="40"/>
      <c r="BE17" s="40">
        <v>1655375</v>
      </c>
      <c r="BF17" s="40">
        <f t="shared" si="9"/>
        <v>1655375</v>
      </c>
      <c r="BH17" s="85">
        <v>44727</v>
      </c>
      <c r="BI17" s="40">
        <v>0</v>
      </c>
      <c r="BJ17" s="87">
        <v>0</v>
      </c>
      <c r="BK17" s="40">
        <f t="shared" si="0"/>
        <v>2426875</v>
      </c>
      <c r="BL17" s="40">
        <f t="shared" si="10"/>
        <v>2426875</v>
      </c>
      <c r="BN17" s="85">
        <v>44727</v>
      </c>
      <c r="BO17" s="40">
        <v>0</v>
      </c>
      <c r="BP17" s="87">
        <v>0</v>
      </c>
      <c r="BQ17" s="40">
        <v>14230437.5</v>
      </c>
      <c r="BR17" s="40">
        <v>0</v>
      </c>
      <c r="BS17" s="40">
        <f t="shared" si="1"/>
        <v>14230437.5</v>
      </c>
      <c r="BT17" s="67"/>
      <c r="BU17" s="85">
        <v>44727</v>
      </c>
      <c r="BV17" s="88"/>
      <c r="BW17" s="89"/>
      <c r="BX17" s="90"/>
      <c r="BZ17" s="67"/>
      <c r="CA17" s="85">
        <v>44727</v>
      </c>
      <c r="CB17" s="40">
        <v>0</v>
      </c>
      <c r="CC17" s="87">
        <v>0</v>
      </c>
      <c r="CD17" s="40">
        <v>18269725</v>
      </c>
      <c r="CE17" s="40">
        <v>0</v>
      </c>
      <c r="CF17" s="40">
        <f t="shared" si="11"/>
        <v>18269725</v>
      </c>
      <c r="CG17" s="67"/>
      <c r="CH17" s="85">
        <v>44727</v>
      </c>
      <c r="CI17" s="40"/>
      <c r="CJ17" s="87">
        <v>0</v>
      </c>
      <c r="CK17" s="40">
        <v>4176700</v>
      </c>
      <c r="CL17" s="40">
        <f t="shared" si="12"/>
        <v>4176700</v>
      </c>
      <c r="CM17" s="67"/>
      <c r="CN17" s="85">
        <v>44727</v>
      </c>
      <c r="CO17" s="40"/>
      <c r="CP17" s="87"/>
      <c r="CQ17" s="40">
        <v>2537162.5</v>
      </c>
      <c r="CR17" s="40">
        <v>0</v>
      </c>
      <c r="CS17" s="40">
        <f t="shared" si="13"/>
        <v>2537162.5</v>
      </c>
      <c r="CT17" s="40"/>
      <c r="CU17" s="85">
        <v>44727</v>
      </c>
      <c r="CV17" s="40">
        <v>27926659.050000001</v>
      </c>
      <c r="CW17" s="87">
        <v>5.6500000000000002E-2</v>
      </c>
      <c r="CX17" s="40">
        <f t="shared" si="2"/>
        <v>2055888.75</v>
      </c>
      <c r="CY17" s="40">
        <v>36318340.950000003</v>
      </c>
      <c r="CZ17" s="40">
        <f t="shared" si="3"/>
        <v>66300888.75</v>
      </c>
      <c r="DA17" s="85"/>
      <c r="DB17" s="85">
        <v>44727</v>
      </c>
      <c r="DG17" s="67"/>
      <c r="DH17" s="85">
        <v>44727</v>
      </c>
      <c r="DI17" s="40">
        <v>445000</v>
      </c>
      <c r="DJ17" s="87">
        <v>5.5E-2</v>
      </c>
      <c r="DK17" s="40">
        <v>2138950</v>
      </c>
      <c r="DL17" s="40">
        <f t="shared" si="14"/>
        <v>2583950</v>
      </c>
      <c r="DM17" s="67"/>
      <c r="DN17" s="85">
        <v>44727</v>
      </c>
      <c r="DO17" s="40">
        <v>1510000</v>
      </c>
      <c r="DP17" s="87">
        <v>5.5E-2</v>
      </c>
      <c r="DQ17" s="40">
        <v>263175</v>
      </c>
      <c r="DR17" s="40">
        <f t="shared" si="15"/>
        <v>1773175</v>
      </c>
      <c r="DS17" s="67"/>
      <c r="DT17" s="85">
        <v>44727</v>
      </c>
      <c r="DU17" s="40">
        <v>4048065.45</v>
      </c>
      <c r="DV17" s="87">
        <v>6.1749999999999999E-2</v>
      </c>
      <c r="DW17" s="40">
        <v>0</v>
      </c>
      <c r="DX17" s="40">
        <v>15256934.550000001</v>
      </c>
      <c r="DY17" s="40">
        <f t="shared" si="16"/>
        <v>19305000</v>
      </c>
      <c r="DZ17" s="67"/>
      <c r="EA17" s="85">
        <v>44727</v>
      </c>
      <c r="EB17" s="40">
        <v>250762.85</v>
      </c>
      <c r="EC17" s="87">
        <v>6.7000000000000004E-2</v>
      </c>
      <c r="ED17" s="40">
        <v>0</v>
      </c>
      <c r="EE17" s="40">
        <v>1334237.1499999999</v>
      </c>
      <c r="EF17" s="40">
        <f t="shared" si="17"/>
        <v>1585000</v>
      </c>
      <c r="EG17" s="67"/>
      <c r="EH17" s="85">
        <v>44727</v>
      </c>
      <c r="EI17" s="40">
        <v>701661.35</v>
      </c>
      <c r="EJ17" s="87">
        <v>6.7000000000000004E-2</v>
      </c>
      <c r="EK17" s="40">
        <v>0</v>
      </c>
      <c r="EL17" s="40">
        <v>3733338.65</v>
      </c>
      <c r="EM17" s="40">
        <f t="shared" si="18"/>
        <v>4435000</v>
      </c>
      <c r="EN17" s="67"/>
      <c r="EO17" s="85">
        <v>44727</v>
      </c>
      <c r="ET17" s="40">
        <f t="shared" si="19"/>
        <v>0</v>
      </c>
    </row>
    <row r="18" spans="1:150" x14ac:dyDescent="0.4">
      <c r="A18" s="118">
        <f t="shared" si="26"/>
        <v>45823</v>
      </c>
      <c r="B18" s="85">
        <v>45838</v>
      </c>
      <c r="C18" s="86">
        <f t="shared" si="4"/>
        <v>274869765</v>
      </c>
      <c r="D18" s="40">
        <f t="shared" si="5"/>
        <v>0</v>
      </c>
      <c r="F18" s="85">
        <v>44926</v>
      </c>
      <c r="G18" s="85"/>
      <c r="H18" s="85">
        <v>44910</v>
      </c>
      <c r="I18" s="40"/>
      <c r="O18" s="85">
        <v>44926</v>
      </c>
      <c r="P18" s="85"/>
      <c r="Q18" s="85">
        <v>44910</v>
      </c>
      <c r="R18" s="40">
        <f t="shared" si="20"/>
        <v>68881020</v>
      </c>
      <c r="S18" s="40">
        <f t="shared" si="21"/>
        <v>55869205</v>
      </c>
      <c r="T18" s="40">
        <f t="shared" si="22"/>
        <v>40068980</v>
      </c>
      <c r="U18" s="40">
        <f t="shared" si="23"/>
        <v>0</v>
      </c>
      <c r="V18" s="40">
        <f t="shared" si="24"/>
        <v>164819205</v>
      </c>
      <c r="X18" s="85">
        <v>44910</v>
      </c>
      <c r="Y18" s="40">
        <v>19680000</v>
      </c>
      <c r="Z18" s="101">
        <v>2.75E-2</v>
      </c>
      <c r="AA18" s="40">
        <f t="shared" si="25"/>
        <v>347600</v>
      </c>
      <c r="AB18" s="40"/>
      <c r="AC18" s="40"/>
      <c r="AD18" s="40">
        <f t="shared" si="27"/>
        <v>20027600</v>
      </c>
      <c r="AF18" s="85">
        <v>44910</v>
      </c>
      <c r="AG18" s="40">
        <v>0</v>
      </c>
      <c r="AH18" s="101"/>
      <c r="AI18" s="40">
        <v>4750125</v>
      </c>
      <c r="AJ18" s="40">
        <v>0</v>
      </c>
      <c r="AK18" s="40"/>
      <c r="AL18" s="40">
        <f t="shared" si="6"/>
        <v>4750125</v>
      </c>
      <c r="AN18" s="85">
        <v>44910</v>
      </c>
      <c r="AO18" s="40">
        <v>0</v>
      </c>
      <c r="AQ18" s="40">
        <v>1460250</v>
      </c>
      <c r="AR18" s="40">
        <v>0</v>
      </c>
      <c r="AS18" s="40">
        <f t="shared" si="7"/>
        <v>1460250</v>
      </c>
      <c r="AU18" s="85">
        <v>44910</v>
      </c>
      <c r="AV18" s="40">
        <v>0</v>
      </c>
      <c r="AW18" s="40"/>
      <c r="AX18" s="40">
        <v>3425625</v>
      </c>
      <c r="AY18" s="40">
        <v>0</v>
      </c>
      <c r="AZ18" s="40">
        <f t="shared" si="8"/>
        <v>3425625</v>
      </c>
      <c r="BB18" s="85">
        <v>44910</v>
      </c>
      <c r="BC18" s="40">
        <v>0</v>
      </c>
      <c r="BD18" s="40"/>
      <c r="BE18" s="40">
        <v>1655375</v>
      </c>
      <c r="BF18" s="40">
        <f t="shared" si="9"/>
        <v>1655375</v>
      </c>
      <c r="BH18" s="85">
        <v>44910</v>
      </c>
      <c r="BI18" s="40">
        <v>0</v>
      </c>
      <c r="BJ18" s="87">
        <v>0</v>
      </c>
      <c r="BK18" s="40">
        <f t="shared" si="0"/>
        <v>2426875</v>
      </c>
      <c r="BL18" s="40">
        <f t="shared" si="10"/>
        <v>2426875</v>
      </c>
      <c r="BN18" s="85">
        <v>44910</v>
      </c>
      <c r="BO18" s="40">
        <v>37000000</v>
      </c>
      <c r="BP18" s="87">
        <v>0.05</v>
      </c>
      <c r="BQ18" s="40">
        <v>14230437.5</v>
      </c>
      <c r="BR18" s="40">
        <v>0</v>
      </c>
      <c r="BS18" s="40">
        <f t="shared" si="1"/>
        <v>51230437.5</v>
      </c>
      <c r="BT18" s="67"/>
      <c r="BU18" s="85">
        <v>44910</v>
      </c>
      <c r="BV18" s="88"/>
      <c r="BW18" s="89"/>
      <c r="BX18" s="90"/>
      <c r="BZ18" s="67"/>
      <c r="CA18" s="85">
        <v>44910</v>
      </c>
      <c r="CB18" s="40">
        <v>0</v>
      </c>
      <c r="CC18" s="87">
        <v>0</v>
      </c>
      <c r="CD18" s="40">
        <v>18269725</v>
      </c>
      <c r="CE18" s="40">
        <v>0</v>
      </c>
      <c r="CF18" s="40">
        <f t="shared" si="11"/>
        <v>18269725</v>
      </c>
      <c r="CG18" s="67"/>
      <c r="CH18" s="85">
        <v>44910</v>
      </c>
      <c r="CI18" s="40"/>
      <c r="CJ18" s="87">
        <v>0</v>
      </c>
      <c r="CK18" s="40">
        <v>4176700</v>
      </c>
      <c r="CL18" s="40">
        <f t="shared" si="12"/>
        <v>4176700</v>
      </c>
      <c r="CM18" s="67"/>
      <c r="CN18" s="85">
        <v>44910</v>
      </c>
      <c r="CO18" s="40"/>
      <c r="CP18" s="87"/>
      <c r="CQ18" s="40">
        <v>2537162.5</v>
      </c>
      <c r="CR18" s="40">
        <v>0</v>
      </c>
      <c r="CS18" s="40">
        <f t="shared" si="13"/>
        <v>2537162.5</v>
      </c>
      <c r="CT18" s="40"/>
      <c r="CU18" s="85">
        <v>44910</v>
      </c>
      <c r="CV18" s="40"/>
      <c r="CW18" s="87"/>
      <c r="CX18" s="40">
        <f t="shared" si="2"/>
        <v>240967.5</v>
      </c>
      <c r="CY18" s="40"/>
      <c r="CZ18" s="40">
        <f t="shared" si="3"/>
        <v>240967.5</v>
      </c>
      <c r="DA18" s="85"/>
      <c r="DB18" s="85">
        <v>44910</v>
      </c>
      <c r="DG18" s="67"/>
      <c r="DH18" s="85">
        <v>44910</v>
      </c>
      <c r="DI18" s="40">
        <v>445000</v>
      </c>
      <c r="DJ18" s="87">
        <v>5.5E-2</v>
      </c>
      <c r="DK18" s="40">
        <v>2126712.5</v>
      </c>
      <c r="DL18" s="40">
        <f t="shared" si="14"/>
        <v>2571712.5</v>
      </c>
      <c r="DM18" s="67"/>
      <c r="DN18" s="85">
        <v>44910</v>
      </c>
      <c r="DO18" s="40">
        <v>1525000</v>
      </c>
      <c r="DP18" s="87">
        <v>5.5E-2</v>
      </c>
      <c r="DQ18" s="40">
        <v>221650</v>
      </c>
      <c r="DR18" s="40">
        <f t="shared" si="15"/>
        <v>1746650</v>
      </c>
      <c r="DS18" s="67"/>
      <c r="DT18" s="85">
        <v>44910</v>
      </c>
      <c r="DU18" s="40">
        <v>10231020</v>
      </c>
      <c r="DV18" s="87">
        <v>6.1749999999999999E-2</v>
      </c>
      <c r="DW18" s="40">
        <v>0</v>
      </c>
      <c r="DX18" s="40">
        <v>40068980</v>
      </c>
      <c r="DY18" s="40">
        <f t="shared" si="16"/>
        <v>50300000</v>
      </c>
      <c r="DZ18" s="67"/>
      <c r="EA18" s="85">
        <v>44910</v>
      </c>
      <c r="EB18" s="40"/>
      <c r="EC18" s="87">
        <v>0</v>
      </c>
      <c r="ED18" s="40">
        <v>0</v>
      </c>
      <c r="EE18" s="40">
        <v>0</v>
      </c>
      <c r="EF18" s="40">
        <f t="shared" si="17"/>
        <v>0</v>
      </c>
      <c r="EG18" s="67"/>
      <c r="EH18" s="85">
        <v>44910</v>
      </c>
      <c r="EM18" s="40">
        <f t="shared" si="18"/>
        <v>0</v>
      </c>
      <c r="EN18" s="67"/>
      <c r="EO18" s="85">
        <v>44910</v>
      </c>
      <c r="ET18" s="40">
        <f t="shared" si="19"/>
        <v>0</v>
      </c>
    </row>
    <row r="19" spans="1:150" x14ac:dyDescent="0.4">
      <c r="A19" s="118">
        <f t="shared" si="26"/>
        <v>46188</v>
      </c>
      <c r="B19" s="85">
        <v>46203</v>
      </c>
      <c r="C19" s="86">
        <f t="shared" si="4"/>
        <v>278948262.5</v>
      </c>
      <c r="D19" s="40">
        <f t="shared" si="5"/>
        <v>0</v>
      </c>
      <c r="F19" s="85">
        <v>45107</v>
      </c>
      <c r="G19" s="85"/>
      <c r="H19" s="85">
        <v>45092</v>
      </c>
      <c r="I19" s="40">
        <f>SUM(Y18:Y19,AG18:AG19,AO18:AO19,AV18:AV19,BC18:BC19,BI18:BI19,BO18:BO19,BV18:BV19,CB18:CB19,CI18:CI19,CO18:CO19,CV18:CV19,DC18:DC19,DI18:DI19,DO18:DO19,DU18:DU19,EB18:EB19,EI18:EI19,EP18:EP19)</f>
        <v>102714013.10000001</v>
      </c>
      <c r="J19" s="40">
        <f>SUM(AA18:AA19,AI18:AI19,AQ18:AQ19,AX18:AX19,BE18:BE19,BK18:BK19,BQ18:BQ19,BX18:BX19,CD18:CD19,CK18:CK19,CQ18:CQ19,CX18:CX19,DE18:DE19,DK18:DK19,DQ18:DQ19,DW18:DW19,ED18:ED19,EK18:EK19,ER18:ER19)</f>
        <v>110488635</v>
      </c>
      <c r="K19" s="40">
        <f>SUM(AB18:AB19,AJ18:AJ19,AR18:AR19,AY18:AY19,BR18:BR19,CE18:CE19,CR18:CR19,CY18:CY19,DX18:DX19,EE18:EE19,EL18:EL19,ES18:ES19)</f>
        <v>61745986.899999991</v>
      </c>
      <c r="L19" s="40">
        <f>SUM(AC18:AC19,AK18:AK19)</f>
        <v>0</v>
      </c>
      <c r="M19" s="40">
        <f>SUM(I19:L19)</f>
        <v>274948635</v>
      </c>
      <c r="O19" s="85">
        <v>45107</v>
      </c>
      <c r="P19" s="85"/>
      <c r="Q19" s="85">
        <v>45092</v>
      </c>
      <c r="R19" s="40">
        <f t="shared" si="20"/>
        <v>33832993.100000001</v>
      </c>
      <c r="S19" s="40">
        <f t="shared" si="21"/>
        <v>54619430</v>
      </c>
      <c r="T19" s="40">
        <f t="shared" si="22"/>
        <v>21677006.900000002</v>
      </c>
      <c r="U19" s="40">
        <f t="shared" si="23"/>
        <v>0</v>
      </c>
      <c r="V19" s="40">
        <f t="shared" si="24"/>
        <v>110129430</v>
      </c>
      <c r="X19" s="85">
        <v>45092</v>
      </c>
      <c r="Y19" s="40">
        <v>5600000</v>
      </c>
      <c r="Z19" s="101">
        <v>2.75E-2</v>
      </c>
      <c r="AA19" s="40">
        <f t="shared" si="25"/>
        <v>77000</v>
      </c>
      <c r="AB19" s="40"/>
      <c r="AC19" s="40"/>
      <c r="AD19" s="40">
        <f t="shared" si="27"/>
        <v>5677000</v>
      </c>
      <c r="AF19" s="85">
        <v>45092</v>
      </c>
      <c r="AG19" s="40">
        <v>0</v>
      </c>
      <c r="AH19" s="101"/>
      <c r="AI19" s="40">
        <v>4750125</v>
      </c>
      <c r="AJ19" s="40">
        <v>0</v>
      </c>
      <c r="AK19" s="40"/>
      <c r="AL19" s="40">
        <f t="shared" si="6"/>
        <v>4750125</v>
      </c>
      <c r="AN19" s="85">
        <v>45092</v>
      </c>
      <c r="AO19" s="40">
        <v>0</v>
      </c>
      <c r="AQ19" s="40">
        <v>1460250</v>
      </c>
      <c r="AR19" s="40">
        <v>0</v>
      </c>
      <c r="AS19" s="40">
        <f t="shared" si="7"/>
        <v>1460250</v>
      </c>
      <c r="AU19" s="85">
        <v>45092</v>
      </c>
      <c r="AV19" s="40">
        <v>0</v>
      </c>
      <c r="AW19" s="40"/>
      <c r="AX19" s="40">
        <v>3425625</v>
      </c>
      <c r="AY19" s="40">
        <v>0</v>
      </c>
      <c r="AZ19" s="40">
        <f t="shared" si="8"/>
        <v>3425625</v>
      </c>
      <c r="BB19" s="85">
        <v>45092</v>
      </c>
      <c r="BC19" s="40">
        <v>0</v>
      </c>
      <c r="BD19" s="40"/>
      <c r="BE19" s="40">
        <v>1655375</v>
      </c>
      <c r="BF19" s="40">
        <f t="shared" si="9"/>
        <v>1655375</v>
      </c>
      <c r="BH19" s="85">
        <v>45092</v>
      </c>
      <c r="BI19" s="40">
        <v>0</v>
      </c>
      <c r="BJ19" s="87">
        <v>0</v>
      </c>
      <c r="BK19" s="40">
        <f t="shared" si="0"/>
        <v>2426875</v>
      </c>
      <c r="BL19" s="40">
        <f t="shared" si="10"/>
        <v>2426875</v>
      </c>
      <c r="BN19" s="85">
        <v>45092</v>
      </c>
      <c r="BO19" s="40">
        <v>16790000</v>
      </c>
      <c r="BP19" s="87">
        <v>0.05</v>
      </c>
      <c r="BQ19" s="40">
        <v>13305437.5</v>
      </c>
      <c r="BR19" s="40">
        <v>0</v>
      </c>
      <c r="BS19" s="40">
        <f t="shared" si="1"/>
        <v>30095437.5</v>
      </c>
      <c r="BT19" s="67"/>
      <c r="BU19" s="85">
        <v>45092</v>
      </c>
      <c r="BV19" s="88"/>
      <c r="BW19" s="89"/>
      <c r="BX19" s="91"/>
      <c r="BZ19" s="67"/>
      <c r="CA19" s="85">
        <v>45092</v>
      </c>
      <c r="CB19" s="40">
        <v>0</v>
      </c>
      <c r="CC19" s="87">
        <v>0</v>
      </c>
      <c r="CD19" s="40">
        <v>18269725</v>
      </c>
      <c r="CE19" s="40">
        <v>0</v>
      </c>
      <c r="CF19" s="40">
        <f t="shared" si="11"/>
        <v>18269725</v>
      </c>
      <c r="CG19" s="67"/>
      <c r="CH19" s="85">
        <v>45092</v>
      </c>
      <c r="CI19" s="40"/>
      <c r="CJ19" s="87">
        <v>0</v>
      </c>
      <c r="CK19" s="40">
        <v>4176700</v>
      </c>
      <c r="CL19" s="40">
        <f t="shared" si="12"/>
        <v>4176700</v>
      </c>
      <c r="CM19" s="67"/>
      <c r="CN19" s="85">
        <v>45092</v>
      </c>
      <c r="CO19" s="40"/>
      <c r="CP19" s="87"/>
      <c r="CQ19" s="40">
        <v>2537162.5</v>
      </c>
      <c r="CR19" s="40">
        <v>0</v>
      </c>
      <c r="CS19" s="40">
        <f t="shared" si="13"/>
        <v>2537162.5</v>
      </c>
      <c r="CT19" s="40"/>
      <c r="CU19" s="85">
        <v>45092</v>
      </c>
      <c r="CV19" s="40">
        <v>3648670.6999999997</v>
      </c>
      <c r="CW19" s="87">
        <v>5.7000000000000002E-2</v>
      </c>
      <c r="CX19" s="40">
        <f>(CV19+CY19)*CW19/2+CX20</f>
        <v>240967.5</v>
      </c>
      <c r="CY19" s="40">
        <v>4806329.3000000007</v>
      </c>
      <c r="CZ19" s="40">
        <f t="shared" si="3"/>
        <v>8695967.5</v>
      </c>
      <c r="DA19" s="85"/>
      <c r="DB19" s="85">
        <v>45092</v>
      </c>
      <c r="DG19" s="67"/>
      <c r="DH19" s="85">
        <v>45092</v>
      </c>
      <c r="DI19" s="40">
        <v>860000</v>
      </c>
      <c r="DJ19" s="87">
        <v>5.5E-2</v>
      </c>
      <c r="DK19" s="40">
        <v>2114475</v>
      </c>
      <c r="DL19" s="40">
        <f t="shared" si="14"/>
        <v>2974475</v>
      </c>
      <c r="DM19" s="67"/>
      <c r="DN19" s="85">
        <v>45092</v>
      </c>
      <c r="DO19" s="40">
        <v>2915000</v>
      </c>
      <c r="DP19" s="87">
        <v>5.5E-2</v>
      </c>
      <c r="DQ19" s="40">
        <v>179712.5</v>
      </c>
      <c r="DR19" s="40">
        <f t="shared" si="15"/>
        <v>3094712.5</v>
      </c>
      <c r="DS19" s="67"/>
      <c r="DT19" s="85">
        <v>45092</v>
      </c>
      <c r="DU19" s="40">
        <v>3784552.2</v>
      </c>
      <c r="DV19" s="87">
        <v>6.2E-2</v>
      </c>
      <c r="DW19" s="40">
        <v>0</v>
      </c>
      <c r="DX19" s="40">
        <v>15520447.800000001</v>
      </c>
      <c r="DY19" s="40">
        <f t="shared" si="16"/>
        <v>19305000</v>
      </c>
      <c r="DZ19" s="67"/>
      <c r="EA19" s="85">
        <v>45092</v>
      </c>
      <c r="EB19" s="40">
        <v>234770.2</v>
      </c>
      <c r="EC19" s="87">
        <v>6.7000000000000004E-2</v>
      </c>
      <c r="ED19" s="40">
        <v>0</v>
      </c>
      <c r="EE19" s="40">
        <v>1350229.8</v>
      </c>
      <c r="EF19" s="40">
        <f t="shared" si="17"/>
        <v>1585000</v>
      </c>
      <c r="EG19" s="67"/>
      <c r="EH19" s="85">
        <v>45092</v>
      </c>
      <c r="EM19" s="40">
        <f t="shared" si="18"/>
        <v>0</v>
      </c>
      <c r="EN19" s="67"/>
      <c r="EO19" s="85">
        <v>45092</v>
      </c>
      <c r="ET19" s="40">
        <f t="shared" si="19"/>
        <v>0</v>
      </c>
    </row>
    <row r="20" spans="1:150" x14ac:dyDescent="0.4">
      <c r="A20" s="118">
        <f t="shared" si="26"/>
        <v>46553</v>
      </c>
      <c r="B20" s="85">
        <v>46568</v>
      </c>
      <c r="C20" s="86">
        <f t="shared" si="4"/>
        <v>291949700</v>
      </c>
      <c r="D20" s="40">
        <f t="shared" si="5"/>
        <v>0</v>
      </c>
      <c r="F20" s="85">
        <v>45291</v>
      </c>
      <c r="G20" s="85"/>
      <c r="H20" s="85">
        <v>45275</v>
      </c>
      <c r="I20" s="40"/>
      <c r="O20" s="85">
        <v>45291</v>
      </c>
      <c r="P20" s="85"/>
      <c r="Q20" s="85">
        <v>45275</v>
      </c>
      <c r="R20" s="40">
        <f t="shared" si="20"/>
        <v>19319366.600000001</v>
      </c>
      <c r="S20" s="40">
        <f t="shared" si="21"/>
        <v>53777900</v>
      </c>
      <c r="T20" s="40">
        <f t="shared" si="22"/>
        <v>97320633.400000006</v>
      </c>
      <c r="U20" s="40">
        <f t="shared" si="23"/>
        <v>0</v>
      </c>
      <c r="V20" s="40">
        <f t="shared" si="24"/>
        <v>170417900</v>
      </c>
      <c r="X20" s="85">
        <v>45275</v>
      </c>
      <c r="Y20" s="40"/>
      <c r="Z20" s="101"/>
      <c r="AA20" s="40">
        <f t="shared" si="25"/>
        <v>0</v>
      </c>
      <c r="AB20" s="40"/>
      <c r="AC20" s="40"/>
      <c r="AD20" s="40">
        <f t="shared" si="27"/>
        <v>0</v>
      </c>
      <c r="AF20" s="85">
        <v>45275</v>
      </c>
      <c r="AG20" s="40">
        <v>0</v>
      </c>
      <c r="AH20" s="101"/>
      <c r="AI20" s="40">
        <v>4750125</v>
      </c>
      <c r="AJ20" s="40">
        <v>0</v>
      </c>
      <c r="AK20" s="40"/>
      <c r="AL20" s="40">
        <f t="shared" si="6"/>
        <v>4750125</v>
      </c>
      <c r="AN20" s="85">
        <v>45275</v>
      </c>
      <c r="AO20" s="40">
        <v>0</v>
      </c>
      <c r="AQ20" s="40">
        <v>1460250</v>
      </c>
      <c r="AR20" s="40">
        <v>0</v>
      </c>
      <c r="AS20" s="40">
        <f t="shared" si="7"/>
        <v>1460250</v>
      </c>
      <c r="AU20" s="85">
        <v>45275</v>
      </c>
      <c r="AV20" s="40">
        <v>0</v>
      </c>
      <c r="AW20" s="40"/>
      <c r="AX20" s="40">
        <v>3425625</v>
      </c>
      <c r="AY20" s="40">
        <v>0</v>
      </c>
      <c r="AZ20" s="40">
        <f t="shared" si="8"/>
        <v>3425625</v>
      </c>
      <c r="BB20" s="85">
        <v>45275</v>
      </c>
      <c r="BC20" s="40">
        <v>0</v>
      </c>
      <c r="BD20" s="40"/>
      <c r="BE20" s="40">
        <v>1655375</v>
      </c>
      <c r="BF20" s="40">
        <f t="shared" si="9"/>
        <v>1655375</v>
      </c>
      <c r="BH20" s="85">
        <v>45275</v>
      </c>
      <c r="BI20" s="40">
        <v>0</v>
      </c>
      <c r="BJ20" s="87">
        <v>0</v>
      </c>
      <c r="BK20" s="40">
        <f t="shared" si="0"/>
        <v>2426875</v>
      </c>
      <c r="BL20" s="40">
        <f t="shared" si="10"/>
        <v>2426875</v>
      </c>
      <c r="BN20" s="85">
        <v>45275</v>
      </c>
      <c r="BO20" s="40">
        <v>0</v>
      </c>
      <c r="BP20" s="87">
        <v>0</v>
      </c>
      <c r="BQ20" s="40">
        <v>12885687.5</v>
      </c>
      <c r="BR20" s="40">
        <v>0</v>
      </c>
      <c r="BS20" s="40">
        <f t="shared" si="1"/>
        <v>12885687.5</v>
      </c>
      <c r="BT20" s="67"/>
      <c r="BU20" s="85">
        <v>45275</v>
      </c>
      <c r="BV20" s="92"/>
      <c r="BW20" s="89"/>
      <c r="BX20" s="91"/>
      <c r="BZ20" s="67"/>
      <c r="CA20" s="85">
        <v>45275</v>
      </c>
      <c r="CB20" s="40">
        <v>0</v>
      </c>
      <c r="CC20" s="87">
        <v>0</v>
      </c>
      <c r="CD20" s="40">
        <v>18269725</v>
      </c>
      <c r="CE20" s="40">
        <v>0</v>
      </c>
      <c r="CF20" s="40">
        <f t="shared" si="11"/>
        <v>18269725</v>
      </c>
      <c r="CG20" s="67"/>
      <c r="CH20" s="85">
        <v>45275</v>
      </c>
      <c r="CI20" s="40"/>
      <c r="CJ20" s="87">
        <v>0</v>
      </c>
      <c r="CK20" s="40">
        <v>4176700</v>
      </c>
      <c r="CL20" s="40">
        <f t="shared" si="12"/>
        <v>4176700</v>
      </c>
      <c r="CM20" s="67"/>
      <c r="CN20" s="85">
        <v>45275</v>
      </c>
      <c r="CO20" s="40">
        <v>5059821.5999999996</v>
      </c>
      <c r="CP20" s="87"/>
      <c r="CQ20" s="40">
        <v>2537162.5</v>
      </c>
      <c r="CR20" s="40">
        <v>56585178.399999999</v>
      </c>
      <c r="CS20" s="40">
        <f t="shared" si="13"/>
        <v>64182162.5</v>
      </c>
      <c r="CT20" s="40"/>
      <c r="CU20" s="85">
        <v>45275</v>
      </c>
      <c r="CV20" s="40"/>
      <c r="CW20" s="87"/>
      <c r="CX20" s="40"/>
      <c r="CY20" s="40"/>
      <c r="CZ20" s="40">
        <f t="shared" si="3"/>
        <v>0</v>
      </c>
      <c r="DA20" s="85"/>
      <c r="DB20" s="85">
        <v>45275</v>
      </c>
      <c r="DG20" s="67"/>
      <c r="DH20" s="85">
        <v>45275</v>
      </c>
      <c r="DI20" s="40">
        <v>1075000</v>
      </c>
      <c r="DJ20" s="87">
        <v>5.5E-2</v>
      </c>
      <c r="DK20" s="40">
        <v>2090825</v>
      </c>
      <c r="DL20" s="40">
        <f t="shared" si="14"/>
        <v>3165825</v>
      </c>
      <c r="DM20" s="67"/>
      <c r="DN20" s="85">
        <v>45275</v>
      </c>
      <c r="DO20" s="40">
        <v>3620000</v>
      </c>
      <c r="DP20" s="87">
        <v>5.5E-2</v>
      </c>
      <c r="DQ20" s="40">
        <v>99550</v>
      </c>
      <c r="DR20" s="40">
        <f t="shared" si="15"/>
        <v>3719550</v>
      </c>
      <c r="DS20" s="67"/>
      <c r="DT20" s="85">
        <v>45275</v>
      </c>
      <c r="DU20" s="40">
        <v>9564545</v>
      </c>
      <c r="DV20" s="87">
        <v>6.2E-2</v>
      </c>
      <c r="DW20" s="40">
        <v>0</v>
      </c>
      <c r="DX20" s="40">
        <v>40735455</v>
      </c>
      <c r="DY20" s="40">
        <f t="shared" si="16"/>
        <v>50300000</v>
      </c>
      <c r="DZ20" s="67"/>
      <c r="EA20" s="85">
        <v>45275</v>
      </c>
      <c r="EB20" s="40"/>
      <c r="EC20" s="87">
        <v>0</v>
      </c>
      <c r="ED20" s="40">
        <v>0</v>
      </c>
      <c r="EE20" s="40">
        <v>0</v>
      </c>
      <c r="EF20" s="40">
        <f t="shared" si="17"/>
        <v>0</v>
      </c>
      <c r="EG20" s="67"/>
      <c r="EH20" s="85">
        <v>45275</v>
      </c>
      <c r="EM20" s="40">
        <f t="shared" si="18"/>
        <v>0</v>
      </c>
      <c r="EN20" s="67"/>
      <c r="EO20" s="85">
        <v>45275</v>
      </c>
      <c r="ET20" s="40">
        <f t="shared" si="19"/>
        <v>0</v>
      </c>
    </row>
    <row r="21" spans="1:150" x14ac:dyDescent="0.4">
      <c r="A21" s="118">
        <f t="shared" si="26"/>
        <v>46919</v>
      </c>
      <c r="B21" s="85">
        <v>46934</v>
      </c>
      <c r="C21" s="86">
        <f t="shared" si="4"/>
        <v>306947050</v>
      </c>
      <c r="D21" s="40">
        <f t="shared" si="5"/>
        <v>0</v>
      </c>
      <c r="F21" s="85">
        <v>45473</v>
      </c>
      <c r="G21" s="85"/>
      <c r="H21" s="85">
        <v>45458</v>
      </c>
      <c r="I21" s="40">
        <f>SUM(Y20:Y21,AG20:AG21,AO20:AO21,AV20:AV21,BC20:BC21,BI20:BI21,BO20:BO21,BV20:BV21,CB20:CB21,CI20:CI21,CO20:CO21,CV20:CV21,DC20:DC21,DI20:DI21,DO20:DO21,DU20:DU21,EB20:EB21,EI20:EI21,EP20:EP21)</f>
        <v>39951513.100000001</v>
      </c>
      <c r="J21" s="40">
        <f>SUM(AA20:AA21,AI20:AI21,AQ20:AQ21,AX20:AX21,BE20:BE21,BK20:BK21,BQ20:BQ21,BX20:BX21,CD20:CD21,CK20:CK21,CQ20:CQ21,CX20:CX21,DE20:DE21,DK20:DK21,DQ20:DQ21,DW20:DW21,ED20:ED21,EK20:EK21,ER20:ER21)</f>
        <v>107426687.5</v>
      </c>
      <c r="K21" s="40">
        <f>SUM(AB20:AB21,AJ20:AJ21,AR20:AR21,AY20:AY21,BR20:BR21,CE20:CE21,CR20:CR21,CY20:CY21,DX20:DX21,EE20:EE21,EL20:EL21,ES20:ES21)</f>
        <v>127498486.90000001</v>
      </c>
      <c r="L21" s="40">
        <f>SUM(AC20:AC21,AK20:AK21)</f>
        <v>0</v>
      </c>
      <c r="M21" s="40">
        <f>SUM(I21:L21)</f>
        <v>274876687.5</v>
      </c>
      <c r="O21" s="85">
        <v>45473</v>
      </c>
      <c r="P21" s="85"/>
      <c r="Q21" s="85">
        <v>45458</v>
      </c>
      <c r="R21" s="40">
        <f t="shared" si="20"/>
        <v>20632146.500000004</v>
      </c>
      <c r="S21" s="40">
        <f t="shared" si="21"/>
        <v>53648787.5</v>
      </c>
      <c r="T21" s="40">
        <f t="shared" si="22"/>
        <v>30177853.5</v>
      </c>
      <c r="U21" s="40">
        <f t="shared" si="23"/>
        <v>0</v>
      </c>
      <c r="V21" s="40">
        <f t="shared" si="24"/>
        <v>104458787.5</v>
      </c>
      <c r="X21" s="85">
        <v>45458</v>
      </c>
      <c r="Y21" s="40"/>
      <c r="Z21" s="101"/>
      <c r="AA21" s="40">
        <f t="shared" si="25"/>
        <v>0</v>
      </c>
      <c r="AB21" s="40"/>
      <c r="AC21" s="40"/>
      <c r="AD21" s="40">
        <f t="shared" si="27"/>
        <v>0</v>
      </c>
      <c r="AF21" s="85">
        <v>45458</v>
      </c>
      <c r="AG21" s="40">
        <v>0</v>
      </c>
      <c r="AH21" s="101"/>
      <c r="AI21" s="40">
        <v>4750125</v>
      </c>
      <c r="AJ21" s="40">
        <v>0</v>
      </c>
      <c r="AK21" s="40"/>
      <c r="AL21" s="40">
        <f t="shared" si="6"/>
        <v>4750125</v>
      </c>
      <c r="AN21" s="85">
        <v>45458</v>
      </c>
      <c r="AO21" s="40">
        <v>0</v>
      </c>
      <c r="AQ21" s="40">
        <v>1460250</v>
      </c>
      <c r="AR21" s="40">
        <v>0</v>
      </c>
      <c r="AS21" s="40">
        <f t="shared" si="7"/>
        <v>1460250</v>
      </c>
      <c r="AU21" s="85">
        <v>45458</v>
      </c>
      <c r="AV21" s="40">
        <v>0</v>
      </c>
      <c r="AW21" s="40"/>
      <c r="AX21" s="40">
        <v>3425625</v>
      </c>
      <c r="AY21" s="40">
        <v>0</v>
      </c>
      <c r="AZ21" s="40">
        <f t="shared" si="8"/>
        <v>3425625</v>
      </c>
      <c r="BB21" s="85">
        <v>45458</v>
      </c>
      <c r="BC21" s="40">
        <v>0</v>
      </c>
      <c r="BD21" s="40"/>
      <c r="BE21" s="40">
        <v>1655375</v>
      </c>
      <c r="BF21" s="40">
        <f t="shared" si="9"/>
        <v>1655375</v>
      </c>
      <c r="BH21" s="85">
        <v>45458</v>
      </c>
      <c r="BI21" s="40">
        <v>0</v>
      </c>
      <c r="BJ21" s="87">
        <v>0</v>
      </c>
      <c r="BK21" s="40">
        <f t="shared" si="0"/>
        <v>2426875</v>
      </c>
      <c r="BL21" s="40">
        <f t="shared" si="10"/>
        <v>2426875</v>
      </c>
      <c r="BN21" s="85">
        <v>45458</v>
      </c>
      <c r="BO21" s="40">
        <v>0</v>
      </c>
      <c r="BP21" s="87">
        <v>0</v>
      </c>
      <c r="BQ21" s="40">
        <v>12885687.5</v>
      </c>
      <c r="BR21" s="40">
        <v>0</v>
      </c>
      <c r="BS21" s="40">
        <f t="shared" si="1"/>
        <v>12885687.5</v>
      </c>
      <c r="BT21" s="67"/>
      <c r="BU21" s="85">
        <v>45458</v>
      </c>
      <c r="BV21" s="91"/>
      <c r="BW21" s="89"/>
      <c r="BX21" s="91"/>
      <c r="BZ21" s="67"/>
      <c r="CA21" s="85">
        <v>45458</v>
      </c>
      <c r="CB21" s="40">
        <v>0</v>
      </c>
      <c r="CC21" s="87">
        <v>0</v>
      </c>
      <c r="CD21" s="40">
        <v>18269725</v>
      </c>
      <c r="CE21" s="40">
        <v>0</v>
      </c>
      <c r="CF21" s="40">
        <f t="shared" si="11"/>
        <v>18269725</v>
      </c>
      <c r="CG21" s="67"/>
      <c r="CH21" s="85">
        <v>45458</v>
      </c>
      <c r="CI21" s="40"/>
      <c r="CJ21" s="87">
        <v>0</v>
      </c>
      <c r="CK21" s="40">
        <v>4176700</v>
      </c>
      <c r="CL21" s="40">
        <f t="shared" si="12"/>
        <v>4176700</v>
      </c>
      <c r="CM21" s="67"/>
      <c r="CN21" s="85">
        <v>45458</v>
      </c>
      <c r="CO21" s="40">
        <v>9884423.7000000011</v>
      </c>
      <c r="CP21" s="87"/>
      <c r="CQ21" s="40">
        <v>2537162.5</v>
      </c>
      <c r="CR21" s="40">
        <v>13020576.299999999</v>
      </c>
      <c r="CS21" s="40">
        <f t="shared" si="13"/>
        <v>25442162.5</v>
      </c>
      <c r="CT21" s="40"/>
      <c r="CU21" s="85">
        <v>45458</v>
      </c>
      <c r="CW21" s="87"/>
      <c r="CZ21" s="40">
        <f t="shared" si="3"/>
        <v>0</v>
      </c>
      <c r="DA21" s="85"/>
      <c r="DB21" s="85">
        <v>45458</v>
      </c>
      <c r="DH21" s="85">
        <v>45458</v>
      </c>
      <c r="DI21" s="40">
        <v>7015000</v>
      </c>
      <c r="DJ21" s="87">
        <v>5.5E-2</v>
      </c>
      <c r="DK21" s="40">
        <v>2061262.5</v>
      </c>
      <c r="DL21" s="40">
        <f t="shared" si="14"/>
        <v>9076262.5</v>
      </c>
      <c r="DN21" s="85">
        <v>45458</v>
      </c>
      <c r="DO21" s="40">
        <v>0</v>
      </c>
      <c r="DP21" s="87">
        <v>0</v>
      </c>
      <c r="DQ21" s="40">
        <v>0</v>
      </c>
      <c r="DR21" s="40">
        <f t="shared" si="15"/>
        <v>0</v>
      </c>
      <c r="DT21" s="85">
        <v>45458</v>
      </c>
      <c r="DU21" s="40">
        <v>3512930.85</v>
      </c>
      <c r="DV21" s="87">
        <v>6.25E-2</v>
      </c>
      <c r="DW21" s="40">
        <v>0</v>
      </c>
      <c r="DX21" s="40">
        <v>15792069.15</v>
      </c>
      <c r="DY21" s="40">
        <f t="shared" si="16"/>
        <v>19305000</v>
      </c>
      <c r="EA21" s="85">
        <v>45458</v>
      </c>
      <c r="EB21" s="40">
        <v>219791.94999999998</v>
      </c>
      <c r="EC21" s="87">
        <v>6.7000000000000004E-2</v>
      </c>
      <c r="ED21" s="40">
        <v>0</v>
      </c>
      <c r="EE21" s="40">
        <v>1365208.05</v>
      </c>
      <c r="EF21" s="40">
        <f t="shared" si="17"/>
        <v>1585000</v>
      </c>
      <c r="EH21" s="85">
        <v>45458</v>
      </c>
      <c r="EM21" s="40">
        <f t="shared" si="18"/>
        <v>0</v>
      </c>
      <c r="EO21" s="85">
        <v>45458</v>
      </c>
      <c r="ET21" s="40">
        <f t="shared" si="19"/>
        <v>0</v>
      </c>
    </row>
    <row r="22" spans="1:150" x14ac:dyDescent="0.4">
      <c r="A22" s="118">
        <f t="shared" si="26"/>
        <v>47284</v>
      </c>
      <c r="B22" s="85">
        <v>47299</v>
      </c>
      <c r="C22" s="86">
        <f t="shared" si="4"/>
        <v>321946100</v>
      </c>
      <c r="D22" s="40">
        <f t="shared" si="5"/>
        <v>0</v>
      </c>
      <c r="F22" s="85">
        <v>45657</v>
      </c>
      <c r="G22" s="85"/>
      <c r="H22" s="85">
        <v>45641</v>
      </c>
      <c r="I22" s="40"/>
      <c r="O22" s="85">
        <v>45657</v>
      </c>
      <c r="P22" s="85"/>
      <c r="Q22" s="85">
        <v>45641</v>
      </c>
      <c r="R22" s="40">
        <f t="shared" si="20"/>
        <v>17916601.25</v>
      </c>
      <c r="S22" s="40">
        <f t="shared" si="21"/>
        <v>52803082.5</v>
      </c>
      <c r="T22" s="40">
        <f t="shared" si="22"/>
        <v>92468398.75</v>
      </c>
      <c r="U22" s="40">
        <f t="shared" si="23"/>
        <v>0</v>
      </c>
      <c r="V22" s="40">
        <f t="shared" si="24"/>
        <v>163188082.5</v>
      </c>
      <c r="X22" s="85">
        <v>45641</v>
      </c>
      <c r="Y22" s="40"/>
      <c r="Z22" s="101"/>
      <c r="AA22" s="40">
        <f t="shared" si="25"/>
        <v>0</v>
      </c>
      <c r="AB22" s="40"/>
      <c r="AC22" s="40"/>
      <c r="AD22" s="40">
        <f t="shared" si="27"/>
        <v>0</v>
      </c>
      <c r="AF22" s="85">
        <v>45641</v>
      </c>
      <c r="AG22" s="40">
        <v>0</v>
      </c>
      <c r="AH22" s="101"/>
      <c r="AI22" s="40">
        <v>4750125</v>
      </c>
      <c r="AJ22" s="40">
        <v>0</v>
      </c>
      <c r="AK22" s="40"/>
      <c r="AL22" s="40">
        <f t="shared" si="6"/>
        <v>4750125</v>
      </c>
      <c r="AN22" s="85">
        <v>45641</v>
      </c>
      <c r="AO22" s="40">
        <v>0</v>
      </c>
      <c r="AQ22" s="40">
        <v>1460250</v>
      </c>
      <c r="AR22" s="40">
        <v>0</v>
      </c>
      <c r="AS22" s="40">
        <f t="shared" si="7"/>
        <v>1460250</v>
      </c>
      <c r="AU22" s="85">
        <v>45641</v>
      </c>
      <c r="AV22" s="40">
        <v>0</v>
      </c>
      <c r="AW22" s="40"/>
      <c r="AX22" s="40">
        <v>3425625</v>
      </c>
      <c r="AY22" s="40">
        <v>0</v>
      </c>
      <c r="AZ22" s="40">
        <f t="shared" si="8"/>
        <v>3425625</v>
      </c>
      <c r="BB22" s="85">
        <v>45641</v>
      </c>
      <c r="BC22" s="40">
        <v>0</v>
      </c>
      <c r="BD22" s="40"/>
      <c r="BE22" s="40">
        <v>1655375</v>
      </c>
      <c r="BF22" s="40">
        <f t="shared" si="9"/>
        <v>1655375</v>
      </c>
      <c r="BH22" s="85">
        <v>45641</v>
      </c>
      <c r="BI22" s="40">
        <v>0</v>
      </c>
      <c r="BJ22" s="87">
        <v>0</v>
      </c>
      <c r="BK22" s="40">
        <f t="shared" si="0"/>
        <v>2426875</v>
      </c>
      <c r="BL22" s="40">
        <f t="shared" si="10"/>
        <v>2426875</v>
      </c>
      <c r="BN22" s="85">
        <v>45641</v>
      </c>
      <c r="BO22" s="40">
        <v>0</v>
      </c>
      <c r="BP22" s="87">
        <v>0</v>
      </c>
      <c r="BQ22" s="40">
        <v>12885687.5</v>
      </c>
      <c r="BR22" s="40">
        <v>0</v>
      </c>
      <c r="BS22" s="40">
        <f t="shared" si="1"/>
        <v>12885687.5</v>
      </c>
      <c r="BT22" s="67"/>
      <c r="BU22" s="85">
        <v>45641</v>
      </c>
      <c r="BV22" s="93"/>
      <c r="BW22" s="89"/>
      <c r="BX22" s="90"/>
      <c r="BZ22" s="67"/>
      <c r="CA22" s="85">
        <v>45641</v>
      </c>
      <c r="CB22" s="40">
        <v>0</v>
      </c>
      <c r="CC22" s="87">
        <v>0</v>
      </c>
      <c r="CD22" s="40">
        <v>18269725</v>
      </c>
      <c r="CE22" s="40">
        <v>0</v>
      </c>
      <c r="CF22" s="40">
        <f t="shared" si="11"/>
        <v>18269725</v>
      </c>
      <c r="CG22" s="67"/>
      <c r="CH22" s="85">
        <v>45641</v>
      </c>
      <c r="CI22" s="40"/>
      <c r="CJ22" s="87">
        <v>0</v>
      </c>
      <c r="CK22" s="40">
        <v>4176700</v>
      </c>
      <c r="CL22" s="40">
        <f t="shared" si="12"/>
        <v>4176700</v>
      </c>
      <c r="CM22" s="67"/>
      <c r="CN22" s="85">
        <v>45641</v>
      </c>
      <c r="CO22" s="40">
        <v>3988530</v>
      </c>
      <c r="CP22" s="87"/>
      <c r="CQ22" s="40">
        <v>1884370</v>
      </c>
      <c r="CR22" s="40">
        <v>50611470</v>
      </c>
      <c r="CS22" s="40">
        <f t="shared" si="13"/>
        <v>56484370</v>
      </c>
      <c r="CT22" s="40"/>
      <c r="CU22" s="85">
        <v>45641</v>
      </c>
      <c r="CW22" s="87"/>
      <c r="CZ22" s="40">
        <f t="shared" si="3"/>
        <v>0</v>
      </c>
      <c r="DA22" s="85"/>
      <c r="DB22" s="85">
        <v>45641</v>
      </c>
      <c r="DH22" s="85">
        <v>45641</v>
      </c>
      <c r="DI22" s="40">
        <v>4960000</v>
      </c>
      <c r="DJ22" s="87">
        <v>5.5E-2</v>
      </c>
      <c r="DK22" s="40">
        <v>1868350</v>
      </c>
      <c r="DL22" s="40">
        <f t="shared" si="14"/>
        <v>6828350</v>
      </c>
      <c r="DN22" s="85">
        <v>45641</v>
      </c>
      <c r="DR22" s="40">
        <f t="shared" si="15"/>
        <v>0</v>
      </c>
      <c r="DT22" s="85">
        <v>45641</v>
      </c>
      <c r="DU22" s="40">
        <v>8968071.25</v>
      </c>
      <c r="DV22" s="87">
        <v>6.25E-2</v>
      </c>
      <c r="DW22" s="40">
        <v>0</v>
      </c>
      <c r="DX22" s="40">
        <v>41856928.75</v>
      </c>
      <c r="DY22" s="40">
        <f t="shared" si="16"/>
        <v>50825000</v>
      </c>
      <c r="EA22" s="85">
        <v>45641</v>
      </c>
      <c r="EB22" s="40"/>
      <c r="EC22" s="87">
        <v>0</v>
      </c>
      <c r="ED22" s="40">
        <v>0</v>
      </c>
      <c r="EE22" s="40">
        <v>0</v>
      </c>
      <c r="EF22" s="40">
        <f t="shared" si="17"/>
        <v>0</v>
      </c>
      <c r="EH22" s="85">
        <v>45641</v>
      </c>
      <c r="EM22" s="40">
        <f t="shared" si="18"/>
        <v>0</v>
      </c>
      <c r="EO22" s="85">
        <v>45641</v>
      </c>
      <c r="ET22" s="40">
        <f t="shared" si="19"/>
        <v>0</v>
      </c>
    </row>
    <row r="23" spans="1:150" x14ac:dyDescent="0.4">
      <c r="A23" s="118">
        <f t="shared" si="26"/>
        <v>47649</v>
      </c>
      <c r="B23" s="85">
        <v>47664</v>
      </c>
      <c r="C23" s="86">
        <f t="shared" si="4"/>
        <v>337945875</v>
      </c>
      <c r="D23" s="40">
        <f t="shared" si="5"/>
        <v>0</v>
      </c>
      <c r="F23" s="85">
        <v>45838</v>
      </c>
      <c r="G23" s="85"/>
      <c r="H23" s="85">
        <v>45823</v>
      </c>
      <c r="I23" s="40">
        <f>SUM(Y22:Y23,AG22:AG23,AO22:AO23,AV22:AV23,BC22:BC23,BI22:BI23,BO22:BO23,BV22:BV23,CB22:CB23,CI22:CI23,CO22:CO23,CV22:CV23,DC22:DC23,DI22:DI23,DO22:DO23,DU22:DU23,EB22:EB23,EI22:EI23,EP22:EP23)</f>
        <v>42220150.449999996</v>
      </c>
      <c r="J23" s="40">
        <f>SUM(AA22:AA23,AI22:AI23,AQ22:AQ23,AX22:AX23,BE22:BE23,BK22:BK23,BQ22:BQ23,BX22:BX23,CD22:CD23,CK22:CK23,CQ22:CQ23,CX22:CX23,DE22:DE23,DK22:DK23,DQ22:DQ23,DW22:DW23,ED22:ED23,EK22:EK23,ER22:ER23)</f>
        <v>105469765</v>
      </c>
      <c r="K23" s="40">
        <f>SUM(AB22:AB23,AJ22:AJ23,AR22:AR23,AY22:AY23,BR22:BR23,CE22:CE23,CR22:CR23,CY22:CY23,DX22:DX23,EE22:EE23,EL22:EL23,ES22:ES23)</f>
        <v>127179849.55000001</v>
      </c>
      <c r="L23" s="40">
        <f>SUM(AC22:AC23,AK22:AK23)</f>
        <v>0</v>
      </c>
      <c r="M23" s="40">
        <f>SUM(I23:L23)</f>
        <v>274869765</v>
      </c>
      <c r="O23" s="85">
        <v>45838</v>
      </c>
      <c r="P23" s="85"/>
      <c r="Q23" s="85">
        <v>45823</v>
      </c>
      <c r="R23" s="40">
        <f t="shared" si="20"/>
        <v>24303549.200000003</v>
      </c>
      <c r="S23" s="40">
        <f t="shared" si="21"/>
        <v>52666682.5</v>
      </c>
      <c r="T23" s="40">
        <f t="shared" si="22"/>
        <v>34711450.800000004</v>
      </c>
      <c r="U23" s="40">
        <f t="shared" si="23"/>
        <v>0</v>
      </c>
      <c r="V23" s="40">
        <f t="shared" si="24"/>
        <v>111681682.5</v>
      </c>
      <c r="X23" s="85">
        <v>45823</v>
      </c>
      <c r="Y23" s="40"/>
      <c r="Z23" s="101"/>
      <c r="AA23" s="40">
        <v>0</v>
      </c>
      <c r="AB23" s="40"/>
      <c r="AC23" s="40"/>
      <c r="AD23" s="40">
        <f t="shared" si="27"/>
        <v>0</v>
      </c>
      <c r="AF23" s="85">
        <v>45823</v>
      </c>
      <c r="AG23" s="40">
        <v>0</v>
      </c>
      <c r="AH23" s="101"/>
      <c r="AI23" s="40">
        <v>4750125</v>
      </c>
      <c r="AJ23" s="40">
        <v>0</v>
      </c>
      <c r="AK23" s="40"/>
      <c r="AL23" s="40">
        <f t="shared" si="6"/>
        <v>4750125</v>
      </c>
      <c r="AN23" s="85">
        <v>45823</v>
      </c>
      <c r="AO23" s="40">
        <v>0</v>
      </c>
      <c r="AQ23" s="40">
        <v>1460250</v>
      </c>
      <c r="AR23" s="40">
        <v>0</v>
      </c>
      <c r="AS23" s="40">
        <f t="shared" si="7"/>
        <v>1460250</v>
      </c>
      <c r="AU23" s="85">
        <v>45823</v>
      </c>
      <c r="AV23" s="40">
        <v>0</v>
      </c>
      <c r="AW23" s="40"/>
      <c r="AX23" s="40">
        <v>3425625</v>
      </c>
      <c r="AY23" s="40">
        <v>0</v>
      </c>
      <c r="AZ23" s="40">
        <f t="shared" si="8"/>
        <v>3425625</v>
      </c>
      <c r="BB23" s="85">
        <v>45823</v>
      </c>
      <c r="BC23" s="40">
        <v>0</v>
      </c>
      <c r="BD23" s="40"/>
      <c r="BE23" s="40">
        <v>1655375</v>
      </c>
      <c r="BF23" s="40">
        <f t="shared" si="9"/>
        <v>1655375</v>
      </c>
      <c r="BH23" s="85">
        <v>45823</v>
      </c>
      <c r="BI23" s="40">
        <v>0</v>
      </c>
      <c r="BJ23" s="87">
        <v>0</v>
      </c>
      <c r="BK23" s="40">
        <f t="shared" si="0"/>
        <v>2426875</v>
      </c>
      <c r="BL23" s="40">
        <f t="shared" si="10"/>
        <v>2426875</v>
      </c>
      <c r="BN23" s="85">
        <v>45823</v>
      </c>
      <c r="BO23" s="40">
        <v>0</v>
      </c>
      <c r="BP23" s="87">
        <v>0</v>
      </c>
      <c r="BQ23" s="40">
        <v>12885687.5</v>
      </c>
      <c r="BR23" s="40">
        <v>0</v>
      </c>
      <c r="BS23" s="40">
        <f t="shared" si="1"/>
        <v>12885687.5</v>
      </c>
      <c r="BT23" s="67"/>
      <c r="BU23" s="85">
        <v>45823</v>
      </c>
      <c r="BV23" s="93"/>
      <c r="BW23" s="89"/>
      <c r="BX23" s="90"/>
      <c r="BZ23" s="67"/>
      <c r="CA23" s="85">
        <v>45823</v>
      </c>
      <c r="CB23" s="40">
        <v>0</v>
      </c>
      <c r="CC23" s="87">
        <v>0</v>
      </c>
      <c r="CD23" s="40">
        <v>18269725</v>
      </c>
      <c r="CE23" s="40">
        <v>0</v>
      </c>
      <c r="CF23" s="40">
        <f t="shared" si="11"/>
        <v>18269725</v>
      </c>
      <c r="CG23" s="67"/>
      <c r="CH23" s="85">
        <v>45823</v>
      </c>
      <c r="CI23" s="40"/>
      <c r="CJ23" s="87">
        <v>0</v>
      </c>
      <c r="CK23" s="40">
        <v>4176700</v>
      </c>
      <c r="CL23" s="40">
        <f t="shared" si="12"/>
        <v>4176700</v>
      </c>
      <c r="CM23" s="67"/>
      <c r="CN23" s="85">
        <v>45823</v>
      </c>
      <c r="CO23" s="40">
        <v>13483467.300000001</v>
      </c>
      <c r="CP23" s="87"/>
      <c r="CQ23" s="40">
        <v>1884370</v>
      </c>
      <c r="CR23" s="40">
        <v>17761532.699999999</v>
      </c>
      <c r="CS23" s="40">
        <f t="shared" si="13"/>
        <v>33129370</v>
      </c>
      <c r="CT23" s="40"/>
      <c r="CU23" s="85">
        <v>45823</v>
      </c>
      <c r="CW23" s="87"/>
      <c r="CZ23" s="40">
        <f t="shared" si="3"/>
        <v>0</v>
      </c>
      <c r="DA23" s="85"/>
      <c r="DB23" s="85">
        <v>45823</v>
      </c>
      <c r="DH23" s="85">
        <v>45823</v>
      </c>
      <c r="DI23" s="40">
        <v>7400000</v>
      </c>
      <c r="DJ23" s="87">
        <v>5.5E-2</v>
      </c>
      <c r="DK23" s="40">
        <v>1731950</v>
      </c>
      <c r="DL23" s="40">
        <f t="shared" si="14"/>
        <v>9131950</v>
      </c>
      <c r="DN23" s="85">
        <v>45823</v>
      </c>
      <c r="DR23" s="40">
        <f t="shared" si="15"/>
        <v>0</v>
      </c>
      <c r="DT23" s="85">
        <v>45823</v>
      </c>
      <c r="DU23" s="40">
        <v>3214301.35</v>
      </c>
      <c r="DV23" s="87">
        <v>6.25E-2</v>
      </c>
      <c r="DW23" s="40">
        <v>0</v>
      </c>
      <c r="DX23" s="40">
        <v>15570698.65</v>
      </c>
      <c r="DY23" s="40">
        <f t="shared" si="16"/>
        <v>18785000</v>
      </c>
      <c r="EA23" s="85">
        <v>45823</v>
      </c>
      <c r="EB23" s="40">
        <v>205780.55000000002</v>
      </c>
      <c r="EC23" s="87">
        <v>6.7000000000000004E-2</v>
      </c>
      <c r="ED23" s="40">
        <v>0</v>
      </c>
      <c r="EE23" s="40">
        <v>1379219.45</v>
      </c>
      <c r="EF23" s="40">
        <f t="shared" si="17"/>
        <v>1585000</v>
      </c>
      <c r="EH23" s="85">
        <v>45823</v>
      </c>
      <c r="EM23" s="40">
        <f t="shared" si="18"/>
        <v>0</v>
      </c>
      <c r="EO23" s="85">
        <v>45823</v>
      </c>
      <c r="ET23" s="40">
        <f t="shared" si="19"/>
        <v>0</v>
      </c>
    </row>
    <row r="24" spans="1:150" x14ac:dyDescent="0.4">
      <c r="A24" s="118">
        <f t="shared" si="26"/>
        <v>48014</v>
      </c>
      <c r="B24" s="85">
        <v>48029</v>
      </c>
      <c r="C24" s="86">
        <f t="shared" si="4"/>
        <v>349945950</v>
      </c>
      <c r="D24" s="40">
        <f t="shared" si="5"/>
        <v>0</v>
      </c>
      <c r="F24" s="85">
        <v>46022</v>
      </c>
      <c r="G24" s="85"/>
      <c r="H24" s="85">
        <v>46006</v>
      </c>
      <c r="I24" s="40"/>
      <c r="O24" s="85">
        <v>46022</v>
      </c>
      <c r="P24" s="85"/>
      <c r="Q24" s="85">
        <v>46006</v>
      </c>
      <c r="R24" s="40">
        <f t="shared" si="20"/>
        <v>15976948.800000001</v>
      </c>
      <c r="S24" s="40">
        <f t="shared" si="21"/>
        <v>52405187.5</v>
      </c>
      <c r="T24" s="40">
        <f t="shared" si="22"/>
        <v>60588051.200000003</v>
      </c>
      <c r="U24" s="40">
        <f t="shared" si="23"/>
        <v>0</v>
      </c>
      <c r="V24" s="40">
        <f t="shared" si="24"/>
        <v>128970187.5</v>
      </c>
      <c r="X24" s="85">
        <v>46006</v>
      </c>
      <c r="Y24" s="40">
        <v>945304.8</v>
      </c>
      <c r="Z24" s="101">
        <v>6.5000000000000002E-2</v>
      </c>
      <c r="AA24" s="40">
        <f t="shared" si="25"/>
        <v>832487.5</v>
      </c>
      <c r="AB24" s="40">
        <f>1320000-Y24</f>
        <v>374695.19999999995</v>
      </c>
      <c r="AC24" s="40"/>
      <c r="AD24" s="40">
        <f t="shared" si="27"/>
        <v>2152487.5</v>
      </c>
      <c r="AF24" s="85">
        <v>46006</v>
      </c>
      <c r="AG24" s="40">
        <v>0</v>
      </c>
      <c r="AH24" s="101"/>
      <c r="AI24" s="40">
        <v>4750125</v>
      </c>
      <c r="AJ24" s="40">
        <v>0</v>
      </c>
      <c r="AK24" s="40"/>
      <c r="AL24" s="40">
        <f t="shared" si="6"/>
        <v>4750125</v>
      </c>
      <c r="AN24" s="85">
        <v>46006</v>
      </c>
      <c r="AO24" s="40">
        <v>5610000</v>
      </c>
      <c r="AP24" s="101">
        <v>0.05</v>
      </c>
      <c r="AQ24" s="40">
        <v>1460250</v>
      </c>
      <c r="AR24" s="40">
        <v>0</v>
      </c>
      <c r="AS24" s="40">
        <f t="shared" si="7"/>
        <v>7070250</v>
      </c>
      <c r="AU24" s="85">
        <v>46006</v>
      </c>
      <c r="AV24" s="40">
        <v>0</v>
      </c>
      <c r="AW24" s="40"/>
      <c r="AX24" s="40">
        <v>3425625</v>
      </c>
      <c r="AY24" s="40">
        <v>0</v>
      </c>
      <c r="AZ24" s="40">
        <f t="shared" si="8"/>
        <v>3425625</v>
      </c>
      <c r="BB24" s="85">
        <v>46006</v>
      </c>
      <c r="BC24" s="40">
        <v>0</v>
      </c>
      <c r="BD24" s="40"/>
      <c r="BE24" s="40">
        <v>1655375</v>
      </c>
      <c r="BF24" s="40">
        <f t="shared" si="9"/>
        <v>1655375</v>
      </c>
      <c r="BH24" s="85">
        <v>46006</v>
      </c>
      <c r="BI24" s="40">
        <v>0</v>
      </c>
      <c r="BJ24" s="87">
        <v>0</v>
      </c>
      <c r="BK24" s="40">
        <f t="shared" si="0"/>
        <v>2426875</v>
      </c>
      <c r="BL24" s="40">
        <f t="shared" si="10"/>
        <v>2426875</v>
      </c>
      <c r="BN24" s="85">
        <v>46006</v>
      </c>
      <c r="BO24" s="40">
        <v>0</v>
      </c>
      <c r="BP24" s="87">
        <v>0</v>
      </c>
      <c r="BQ24" s="40">
        <v>12885687.5</v>
      </c>
      <c r="BR24" s="40">
        <v>0</v>
      </c>
      <c r="BS24" s="40">
        <f t="shared" si="1"/>
        <v>12885687.5</v>
      </c>
      <c r="BT24" s="67"/>
      <c r="BU24" s="85">
        <v>46006</v>
      </c>
      <c r="BW24" s="87"/>
      <c r="BZ24" s="67"/>
      <c r="CA24" s="85">
        <v>46006</v>
      </c>
      <c r="CB24" s="40">
        <v>0</v>
      </c>
      <c r="CC24" s="87">
        <v>0</v>
      </c>
      <c r="CD24" s="40">
        <v>18269725</v>
      </c>
      <c r="CE24" s="40">
        <v>0</v>
      </c>
      <c r="CF24" s="40">
        <f t="shared" si="11"/>
        <v>18269725</v>
      </c>
      <c r="CG24" s="67"/>
      <c r="CH24" s="85">
        <v>46006</v>
      </c>
      <c r="CI24" s="40"/>
      <c r="CJ24" s="87">
        <v>0</v>
      </c>
      <c r="CK24" s="40">
        <v>4176700</v>
      </c>
      <c r="CL24" s="40">
        <f t="shared" si="12"/>
        <v>4176700</v>
      </c>
      <c r="CM24" s="67"/>
      <c r="CN24" s="85">
        <v>46006</v>
      </c>
      <c r="CO24" s="40">
        <v>4186644</v>
      </c>
      <c r="CP24" s="87"/>
      <c r="CQ24" s="40">
        <v>993887.5</v>
      </c>
      <c r="CR24" s="40">
        <v>60213356</v>
      </c>
      <c r="CS24" s="40">
        <f t="shared" si="13"/>
        <v>65393887.5</v>
      </c>
      <c r="CT24" s="40"/>
      <c r="CU24" s="85">
        <v>46006</v>
      </c>
      <c r="CW24" s="87"/>
      <c r="CZ24" s="40">
        <f t="shared" si="3"/>
        <v>0</v>
      </c>
      <c r="DA24" s="85"/>
      <c r="DB24" s="85">
        <v>46006</v>
      </c>
      <c r="DH24" s="85">
        <v>46006</v>
      </c>
      <c r="DI24" s="40">
        <v>5235000</v>
      </c>
      <c r="DJ24" s="87">
        <v>5.5E-2</v>
      </c>
      <c r="DK24" s="40">
        <v>1528450</v>
      </c>
      <c r="DL24" s="40">
        <f t="shared" si="14"/>
        <v>6763450</v>
      </c>
      <c r="DN24" s="85">
        <v>46006</v>
      </c>
      <c r="DR24" s="40">
        <f t="shared" si="15"/>
        <v>0</v>
      </c>
      <c r="DT24" s="85">
        <v>46006</v>
      </c>
      <c r="DY24" s="40">
        <f t="shared" si="16"/>
        <v>0</v>
      </c>
      <c r="EA24" s="85">
        <v>46006</v>
      </c>
      <c r="EB24" s="40"/>
      <c r="EC24" s="87">
        <v>0</v>
      </c>
      <c r="ED24" s="40">
        <v>0</v>
      </c>
      <c r="EE24" s="40">
        <v>0</v>
      </c>
      <c r="EF24" s="40">
        <f t="shared" si="17"/>
        <v>0</v>
      </c>
      <c r="EH24" s="85">
        <v>46006</v>
      </c>
      <c r="EM24" s="40">
        <f t="shared" si="18"/>
        <v>0</v>
      </c>
      <c r="EO24" s="85">
        <v>46006</v>
      </c>
      <c r="ET24" s="40">
        <f t="shared" si="19"/>
        <v>0</v>
      </c>
    </row>
    <row r="25" spans="1:150" x14ac:dyDescent="0.4">
      <c r="A25" s="118">
        <f t="shared" si="26"/>
        <v>48380</v>
      </c>
      <c r="B25" s="85">
        <v>48395</v>
      </c>
      <c r="C25" s="86">
        <f t="shared" si="4"/>
        <v>349947765</v>
      </c>
      <c r="D25" s="40">
        <f t="shared" si="5"/>
        <v>0</v>
      </c>
      <c r="F25" s="85">
        <v>46203</v>
      </c>
      <c r="G25" s="85"/>
      <c r="H25" s="85">
        <v>46188</v>
      </c>
      <c r="I25" s="40">
        <f>SUM(Y24:Y25,AG24:AG25,AO24:AO25,AV24:AV25,BC24:BC25,BI24:BI25,BO24:BO25,BV24:BV25,CB24:CB25,CI24:CI25,CO24:CO25,CV24:CV25,DC24:DC25,DI24:DI25,DO24:DO25,DU24:DU25,EB24:EB25,EI24:EI25,EP24:EP25)</f>
        <v>62024434.200000003</v>
      </c>
      <c r="J25" s="40">
        <f>SUM(AA24:AA25,AI24:AI25,AQ24:AQ25,AX24:AX25,BE24:BE25,BK24:BK25,BQ24:BQ25,BX24:BX25,CD24:CD25,CK24:CK25,CQ24:CQ25,CX24:CX25,DE24:DE25,DK24:DK25,DQ24:DQ25,DW24:DW25,ED24:ED25,EK24:EK25,ER24:ER25)</f>
        <v>104483262.5</v>
      </c>
      <c r="K25" s="40">
        <f>SUM(AB24:AB25,AJ24:AJ25,AR24:AR25,AY24:AY25,BR24:BR25,CE24:CE25,CR24:CR25,CY24:CY25,DX24:DX25,EE24:EE25,EL24:EL25,ES24:ES25)</f>
        <v>112440565.8</v>
      </c>
      <c r="L25" s="40">
        <f>SUM(AC24:AC25,AK24:AK25)</f>
        <v>0</v>
      </c>
      <c r="M25" s="40">
        <f>SUM(I25:L25)</f>
        <v>278948262.5</v>
      </c>
      <c r="O25" s="85">
        <v>46203</v>
      </c>
      <c r="P25" s="85"/>
      <c r="Q25" s="85">
        <v>46188</v>
      </c>
      <c r="R25" s="40">
        <f t="shared" si="20"/>
        <v>46047485.400000006</v>
      </c>
      <c r="S25" s="40">
        <f t="shared" si="21"/>
        <v>52078075</v>
      </c>
      <c r="T25" s="40">
        <f t="shared" si="22"/>
        <v>51852514.599999994</v>
      </c>
      <c r="U25" s="40">
        <f t="shared" si="23"/>
        <v>0</v>
      </c>
      <c r="V25" s="40">
        <f t="shared" si="24"/>
        <v>149978075</v>
      </c>
      <c r="X25" s="85">
        <v>46188</v>
      </c>
      <c r="Y25" s="40"/>
      <c r="Z25" s="101"/>
      <c r="AA25" s="40">
        <f t="shared" si="25"/>
        <v>789587.5</v>
      </c>
      <c r="AB25" s="40"/>
      <c r="AC25" s="40"/>
      <c r="AD25" s="40">
        <f t="shared" si="27"/>
        <v>789587.5</v>
      </c>
      <c r="AF25" s="85">
        <v>46188</v>
      </c>
      <c r="AG25" s="40">
        <v>0</v>
      </c>
      <c r="AH25" s="101"/>
      <c r="AI25" s="40">
        <v>4750125</v>
      </c>
      <c r="AJ25" s="40">
        <v>0</v>
      </c>
      <c r="AK25" s="40"/>
      <c r="AL25" s="40">
        <f t="shared" si="6"/>
        <v>4750125</v>
      </c>
      <c r="AN25" s="85">
        <v>46188</v>
      </c>
      <c r="AO25" s="40">
        <v>0</v>
      </c>
      <c r="AQ25" s="40">
        <v>1320000</v>
      </c>
      <c r="AR25" s="40">
        <v>0</v>
      </c>
      <c r="AS25" s="40">
        <f t="shared" si="7"/>
        <v>1320000</v>
      </c>
      <c r="AU25" s="85">
        <v>46188</v>
      </c>
      <c r="AV25" s="40">
        <v>0</v>
      </c>
      <c r="AW25" s="40"/>
      <c r="AX25" s="40">
        <v>3425625</v>
      </c>
      <c r="AY25" s="40">
        <v>0</v>
      </c>
      <c r="AZ25" s="40">
        <f t="shared" si="8"/>
        <v>3425625</v>
      </c>
      <c r="BB25" s="85">
        <v>46188</v>
      </c>
      <c r="BC25" s="40">
        <v>0</v>
      </c>
      <c r="BD25" s="40"/>
      <c r="BE25" s="40">
        <v>1655375</v>
      </c>
      <c r="BF25" s="40">
        <f t="shared" si="9"/>
        <v>1655375</v>
      </c>
      <c r="BH25" s="85">
        <v>46188</v>
      </c>
      <c r="BI25" s="40">
        <v>0</v>
      </c>
      <c r="BJ25" s="87">
        <v>0</v>
      </c>
      <c r="BK25" s="40">
        <f t="shared" si="0"/>
        <v>2426875</v>
      </c>
      <c r="BL25" s="40">
        <f t="shared" si="10"/>
        <v>2426875</v>
      </c>
      <c r="BN25" s="85">
        <v>46188</v>
      </c>
      <c r="BO25" s="40">
        <v>0</v>
      </c>
      <c r="BP25" s="87">
        <v>0</v>
      </c>
      <c r="BQ25" s="40">
        <v>12885687.5</v>
      </c>
      <c r="BR25" s="40">
        <v>0</v>
      </c>
      <c r="BS25" s="40">
        <f t="shared" si="1"/>
        <v>12885687.5</v>
      </c>
      <c r="BT25" s="67"/>
      <c r="BU25" s="85">
        <v>46188</v>
      </c>
      <c r="BW25" s="87"/>
      <c r="BZ25" s="67"/>
      <c r="CA25" s="85">
        <v>46188</v>
      </c>
      <c r="CB25" s="40">
        <v>21747940.600000001</v>
      </c>
      <c r="CC25" s="87">
        <v>5.7000000000000002E-2</v>
      </c>
      <c r="CD25" s="40">
        <v>18269725</v>
      </c>
      <c r="CE25" s="40">
        <v>30687059.399999999</v>
      </c>
      <c r="CF25" s="40">
        <f t="shared" si="11"/>
        <v>70704725</v>
      </c>
      <c r="CG25" s="67"/>
      <c r="CH25" s="85">
        <v>46188</v>
      </c>
      <c r="CI25" s="40"/>
      <c r="CJ25" s="87">
        <v>0</v>
      </c>
      <c r="CK25" s="40">
        <v>4176700</v>
      </c>
      <c r="CL25" s="40">
        <f t="shared" si="12"/>
        <v>4176700</v>
      </c>
      <c r="CM25" s="67"/>
      <c r="CN25" s="85">
        <v>46188</v>
      </c>
      <c r="CO25" s="40">
        <v>13914756.800000001</v>
      </c>
      <c r="CP25" s="87"/>
      <c r="CQ25" s="40">
        <v>993887.5</v>
      </c>
      <c r="CR25" s="40">
        <v>18565243.199999999</v>
      </c>
      <c r="CS25" s="40">
        <f t="shared" si="13"/>
        <v>33473887.5</v>
      </c>
      <c r="CT25" s="40"/>
      <c r="CU25" s="85">
        <v>46188</v>
      </c>
      <c r="CW25" s="87"/>
      <c r="CZ25" s="40">
        <f t="shared" si="3"/>
        <v>0</v>
      </c>
      <c r="DA25" s="85"/>
      <c r="DB25" s="85">
        <v>46188</v>
      </c>
      <c r="DH25" s="85">
        <v>46188</v>
      </c>
      <c r="DI25" s="40">
        <v>10025000</v>
      </c>
      <c r="DJ25" s="87">
        <v>5.5E-2</v>
      </c>
      <c r="DK25" s="40">
        <v>1384487.5</v>
      </c>
      <c r="DL25" s="40">
        <f t="shared" si="14"/>
        <v>11409487.5</v>
      </c>
      <c r="DN25" s="85">
        <v>46188</v>
      </c>
      <c r="DR25" s="40">
        <f t="shared" si="15"/>
        <v>0</v>
      </c>
      <c r="DT25" s="85">
        <v>46188</v>
      </c>
      <c r="DY25" s="40">
        <f t="shared" si="16"/>
        <v>0</v>
      </c>
      <c r="EA25" s="85">
        <v>46188</v>
      </c>
      <c r="EB25" s="40">
        <v>359788</v>
      </c>
      <c r="EC25" s="87">
        <v>6.7000000000000004E-2</v>
      </c>
      <c r="ED25" s="40">
        <v>0</v>
      </c>
      <c r="EE25" s="40">
        <v>2600212</v>
      </c>
      <c r="EF25" s="40">
        <f t="shared" si="17"/>
        <v>2960000</v>
      </c>
      <c r="EH25" s="85">
        <v>46188</v>
      </c>
      <c r="EM25" s="40">
        <f t="shared" si="18"/>
        <v>0</v>
      </c>
      <c r="EO25" s="85">
        <v>46188</v>
      </c>
      <c r="ET25" s="40">
        <f t="shared" si="19"/>
        <v>0</v>
      </c>
    </row>
    <row r="26" spans="1:150" x14ac:dyDescent="0.4">
      <c r="A26" s="118">
        <f t="shared" si="26"/>
        <v>48745</v>
      </c>
      <c r="B26" s="85">
        <v>48760</v>
      </c>
      <c r="C26" s="86">
        <f t="shared" si="4"/>
        <v>349946152.5</v>
      </c>
      <c r="D26" s="40">
        <f t="shared" si="5"/>
        <v>0</v>
      </c>
      <c r="F26" s="85">
        <v>46387</v>
      </c>
      <c r="G26" s="85"/>
      <c r="H26" s="85">
        <v>46371</v>
      </c>
      <c r="I26" s="40"/>
      <c r="O26" s="85">
        <v>46387</v>
      </c>
      <c r="P26" s="85"/>
      <c r="Q26" s="85">
        <v>46371</v>
      </c>
      <c r="R26" s="40">
        <f t="shared" si="20"/>
        <v>72672174.200000003</v>
      </c>
      <c r="S26" s="40">
        <f t="shared" si="21"/>
        <v>50868587.5</v>
      </c>
      <c r="T26" s="40">
        <f t="shared" si="22"/>
        <v>39562825.800000004</v>
      </c>
      <c r="U26" s="40">
        <f t="shared" si="23"/>
        <v>0</v>
      </c>
      <c r="V26" s="40">
        <f t="shared" si="24"/>
        <v>163103587.5</v>
      </c>
      <c r="X26" s="85">
        <v>46371</v>
      </c>
      <c r="Y26" s="40">
        <v>837883.8</v>
      </c>
      <c r="Z26" s="101">
        <v>6.5000000000000002E-2</v>
      </c>
      <c r="AA26" s="40">
        <f t="shared" si="25"/>
        <v>789587.5</v>
      </c>
      <c r="AB26" s="40">
        <f>1170000-Y26</f>
        <v>332116.19999999995</v>
      </c>
      <c r="AC26" s="40"/>
      <c r="AD26" s="40">
        <f t="shared" si="27"/>
        <v>1959587.5</v>
      </c>
      <c r="AF26" s="85">
        <v>46371</v>
      </c>
      <c r="AG26" s="40">
        <v>0</v>
      </c>
      <c r="AH26" s="101"/>
      <c r="AI26" s="40">
        <v>4750125</v>
      </c>
      <c r="AJ26" s="40">
        <v>0</v>
      </c>
      <c r="AK26" s="40"/>
      <c r="AL26" s="40">
        <f t="shared" si="6"/>
        <v>4750125</v>
      </c>
      <c r="AN26" s="85">
        <v>46371</v>
      </c>
      <c r="AO26" s="40">
        <v>16325000</v>
      </c>
      <c r="AP26" s="101">
        <v>0.05</v>
      </c>
      <c r="AQ26" s="40">
        <v>1320000</v>
      </c>
      <c r="AR26" s="40">
        <v>0</v>
      </c>
      <c r="AS26" s="40">
        <f t="shared" si="7"/>
        <v>17645000</v>
      </c>
      <c r="AU26" s="85">
        <v>46371</v>
      </c>
      <c r="AV26" s="40">
        <v>0</v>
      </c>
      <c r="AW26" s="40"/>
      <c r="AX26" s="40">
        <v>3425625</v>
      </c>
      <c r="AY26" s="40">
        <v>0</v>
      </c>
      <c r="AZ26" s="40">
        <f t="shared" si="8"/>
        <v>3425625</v>
      </c>
      <c r="BB26" s="85">
        <v>46371</v>
      </c>
      <c r="BC26" s="40">
        <v>0</v>
      </c>
      <c r="BD26" s="40"/>
      <c r="BE26" s="40">
        <v>1655375</v>
      </c>
      <c r="BF26" s="40">
        <f t="shared" si="9"/>
        <v>1655375</v>
      </c>
      <c r="BH26" s="85">
        <v>46371</v>
      </c>
      <c r="BI26" s="40">
        <v>0</v>
      </c>
      <c r="BJ26" s="87">
        <v>0</v>
      </c>
      <c r="BK26" s="40">
        <f t="shared" si="0"/>
        <v>2426875</v>
      </c>
      <c r="BL26" s="40">
        <f t="shared" si="10"/>
        <v>2426875</v>
      </c>
      <c r="BN26" s="85">
        <v>46371</v>
      </c>
      <c r="BO26" s="40">
        <v>47570000</v>
      </c>
      <c r="BP26" s="87">
        <v>0.05</v>
      </c>
      <c r="BQ26" s="40">
        <v>12885687.5</v>
      </c>
      <c r="BR26" s="40">
        <v>0</v>
      </c>
      <c r="BS26" s="40">
        <f t="shared" si="1"/>
        <v>60455687.5</v>
      </c>
      <c r="BT26" s="67"/>
      <c r="BU26" s="85">
        <v>46371</v>
      </c>
      <c r="BW26" s="87"/>
      <c r="BZ26" s="67"/>
      <c r="CA26" s="85">
        <v>46371</v>
      </c>
      <c r="CB26" s="40">
        <v>0</v>
      </c>
      <c r="CC26" s="87">
        <v>0</v>
      </c>
      <c r="CD26" s="40">
        <v>18269725</v>
      </c>
      <c r="CE26" s="40">
        <v>0</v>
      </c>
      <c r="CF26" s="40">
        <f t="shared" si="11"/>
        <v>18269725</v>
      </c>
      <c r="CG26" s="67"/>
      <c r="CH26" s="85">
        <v>46371</v>
      </c>
      <c r="CI26" s="40"/>
      <c r="CJ26" s="87">
        <v>0</v>
      </c>
      <c r="CK26" s="40">
        <v>4176700</v>
      </c>
      <c r="CL26" s="40">
        <f t="shared" si="12"/>
        <v>4176700</v>
      </c>
      <c r="CM26" s="67"/>
      <c r="CN26" s="85">
        <v>46371</v>
      </c>
      <c r="CO26" s="40">
        <v>2409290.4</v>
      </c>
      <c r="CP26" s="87"/>
      <c r="CQ26" s="40">
        <v>60087.5</v>
      </c>
      <c r="CR26" s="40">
        <v>39230709.600000001</v>
      </c>
      <c r="CS26" s="40">
        <f t="shared" si="13"/>
        <v>41700087.5</v>
      </c>
      <c r="CT26" s="40"/>
      <c r="CU26" s="85">
        <v>46371</v>
      </c>
      <c r="CW26" s="87"/>
      <c r="CZ26" s="40">
        <f t="shared" si="3"/>
        <v>0</v>
      </c>
      <c r="DA26" s="85"/>
      <c r="DB26" s="85">
        <v>46371</v>
      </c>
      <c r="DH26" s="85">
        <v>46371</v>
      </c>
      <c r="DI26" s="40">
        <v>5530000</v>
      </c>
      <c r="DJ26" s="87">
        <v>5.5E-2</v>
      </c>
      <c r="DK26" s="40">
        <v>1108800</v>
      </c>
      <c r="DL26" s="40">
        <f t="shared" si="14"/>
        <v>6638800</v>
      </c>
      <c r="DN26" s="85">
        <v>46371</v>
      </c>
      <c r="DR26" s="40">
        <f t="shared" si="15"/>
        <v>0</v>
      </c>
      <c r="DT26" s="85">
        <v>46371</v>
      </c>
      <c r="DY26" s="40">
        <f t="shared" si="16"/>
        <v>0</v>
      </c>
      <c r="EA26" s="85">
        <v>46371</v>
      </c>
      <c r="EB26" s="40"/>
      <c r="EC26" s="87">
        <v>0</v>
      </c>
      <c r="ED26" s="40">
        <v>0</v>
      </c>
      <c r="EE26" s="40">
        <v>0</v>
      </c>
      <c r="EF26" s="40">
        <f t="shared" si="17"/>
        <v>0</v>
      </c>
      <c r="EH26" s="85">
        <v>46371</v>
      </c>
      <c r="EM26" s="40">
        <f t="shared" si="18"/>
        <v>0</v>
      </c>
      <c r="EO26" s="85">
        <v>46371</v>
      </c>
      <c r="ET26" s="40">
        <f t="shared" si="19"/>
        <v>0</v>
      </c>
    </row>
    <row r="27" spans="1:150" x14ac:dyDescent="0.4">
      <c r="A27" s="118">
        <f t="shared" si="26"/>
        <v>49110</v>
      </c>
      <c r="B27" s="85">
        <v>49125</v>
      </c>
      <c r="C27" s="86">
        <f t="shared" si="4"/>
        <v>349946040</v>
      </c>
      <c r="D27" s="40">
        <f t="shared" si="5"/>
        <v>0</v>
      </c>
      <c r="F27" s="85">
        <v>46568</v>
      </c>
      <c r="G27" s="85"/>
      <c r="H27" s="85">
        <v>46553</v>
      </c>
      <c r="I27" s="40">
        <f>SUM(Y26:Y27,AG26:AG27,AO26:AO27,AV26:AV27,BC26:BC27,BI26:BI27,BO26:BO27,BV26:BV27,CB26:CB27,CI26:CI27,CO26:CO27,CV26:CV27,DC26:DC27,DI26:DI27,DO26:DO27,DU26:DU27,EB26:EB27,EI26:EI27,EP26:EP27)</f>
        <v>109107108.30000001</v>
      </c>
      <c r="J27" s="40">
        <f>SUM(AA26:AA27,AI26:AI27,AQ26:AQ27,AX26:AX27,BE26:BE27,BK26:BK27,BQ26:BQ27,BX26:BX27,CD26:CD27,CK26:CK27,CQ26:CQ27,CX26:CX27,DE26:DE27,DK26:DK27,DQ26:DQ27,DW26:DW27,ED26:ED27,EK26:EK27,ER26:ER27)</f>
        <v>99949700</v>
      </c>
      <c r="K27" s="40">
        <f>SUM(AB26:AB27,AJ26:AJ27,AR26:AR27,AY26:AY27,BR26:BR27,CE26:CE27,CR26:CR27,CY26:CY27,DX26:DX27,EE26:EE27,EL26:EL27,ES26:ES27)</f>
        <v>82892891.699999988</v>
      </c>
      <c r="L27" s="40">
        <f>SUM(AC26:AC27,AK26:AK27)</f>
        <v>0</v>
      </c>
      <c r="M27" s="40">
        <f>SUM(I27:L27)</f>
        <v>291949700</v>
      </c>
      <c r="O27" s="85">
        <v>46568</v>
      </c>
      <c r="P27" s="85"/>
      <c r="Q27" s="85">
        <v>46553</v>
      </c>
      <c r="R27" s="40">
        <f t="shared" si="20"/>
        <v>36434934.099999994</v>
      </c>
      <c r="S27" s="40">
        <f t="shared" si="21"/>
        <v>49081112.5</v>
      </c>
      <c r="T27" s="40">
        <f t="shared" si="22"/>
        <v>43330065.899999999</v>
      </c>
      <c r="U27" s="40">
        <f t="shared" si="23"/>
        <v>0</v>
      </c>
      <c r="V27" s="40">
        <f t="shared" si="24"/>
        <v>128846112.5</v>
      </c>
      <c r="X27" s="85">
        <v>46553</v>
      </c>
      <c r="Y27" s="40"/>
      <c r="Z27" s="101"/>
      <c r="AA27" s="40">
        <f t="shared" si="25"/>
        <v>751562.5</v>
      </c>
      <c r="AB27" s="40"/>
      <c r="AC27" s="40"/>
      <c r="AD27" s="40">
        <f t="shared" si="27"/>
        <v>751562.5</v>
      </c>
      <c r="AF27" s="85">
        <v>46553</v>
      </c>
      <c r="AG27" s="40">
        <v>0</v>
      </c>
      <c r="AH27" s="101"/>
      <c r="AI27" s="40">
        <v>4750125</v>
      </c>
      <c r="AJ27" s="40">
        <v>0</v>
      </c>
      <c r="AK27" s="40"/>
      <c r="AL27" s="40">
        <f t="shared" si="6"/>
        <v>4750125</v>
      </c>
      <c r="AN27" s="85">
        <v>46553</v>
      </c>
      <c r="AO27" s="40">
        <v>0</v>
      </c>
      <c r="AQ27" s="40">
        <v>911875</v>
      </c>
      <c r="AR27" s="40">
        <v>0</v>
      </c>
      <c r="AS27" s="40">
        <f t="shared" si="7"/>
        <v>911875</v>
      </c>
      <c r="AU27" s="85">
        <v>46553</v>
      </c>
      <c r="AV27" s="40">
        <v>0</v>
      </c>
      <c r="AW27" s="40"/>
      <c r="AX27" s="40">
        <v>3425625</v>
      </c>
      <c r="AY27" s="40">
        <v>0</v>
      </c>
      <c r="AZ27" s="40">
        <f t="shared" si="8"/>
        <v>3425625</v>
      </c>
      <c r="BB27" s="85">
        <v>46553</v>
      </c>
      <c r="BC27" s="40">
        <v>0</v>
      </c>
      <c r="BD27" s="40"/>
      <c r="BE27" s="40">
        <v>1655375</v>
      </c>
      <c r="BF27" s="40">
        <f t="shared" si="9"/>
        <v>1655375</v>
      </c>
      <c r="BH27" s="85">
        <v>46553</v>
      </c>
      <c r="BI27" s="40">
        <v>0</v>
      </c>
      <c r="BJ27" s="87">
        <v>0</v>
      </c>
      <c r="BK27" s="40">
        <f t="shared" si="0"/>
        <v>2426875</v>
      </c>
      <c r="BL27" s="40">
        <f t="shared" si="10"/>
        <v>2426875</v>
      </c>
      <c r="BN27" s="85">
        <v>46553</v>
      </c>
      <c r="BO27" s="40">
        <v>0</v>
      </c>
      <c r="BP27" s="87">
        <v>0</v>
      </c>
      <c r="BQ27" s="40">
        <v>11696437.5</v>
      </c>
      <c r="BR27" s="40">
        <v>0</v>
      </c>
      <c r="BS27" s="40">
        <f t="shared" si="1"/>
        <v>11696437.5</v>
      </c>
      <c r="BT27" s="67"/>
      <c r="BU27" s="85">
        <v>46553</v>
      </c>
      <c r="BW27" s="87"/>
      <c r="BZ27" s="67"/>
      <c r="CA27" s="85">
        <v>46553</v>
      </c>
      <c r="CB27" s="40">
        <v>24622709.199999999</v>
      </c>
      <c r="CC27" s="87">
        <v>5.8299999999999998E-2</v>
      </c>
      <c r="CD27" s="40">
        <v>18269725</v>
      </c>
      <c r="CE27" s="40">
        <v>39512290.799999997</v>
      </c>
      <c r="CF27" s="40">
        <f t="shared" si="11"/>
        <v>82404725</v>
      </c>
      <c r="CG27" s="67"/>
      <c r="CH27" s="85">
        <v>46553</v>
      </c>
      <c r="CI27" s="40"/>
      <c r="CJ27" s="87">
        <v>0</v>
      </c>
      <c r="CK27" s="40">
        <v>4176700</v>
      </c>
      <c r="CL27" s="40">
        <f t="shared" si="12"/>
        <v>4176700</v>
      </c>
      <c r="CM27" s="67"/>
      <c r="CN27" s="85">
        <v>46553</v>
      </c>
      <c r="CO27" s="40">
        <v>895376.89999999991</v>
      </c>
      <c r="CP27" s="87"/>
      <c r="CQ27" s="40">
        <v>60087.5</v>
      </c>
      <c r="CR27" s="40">
        <v>1194623.1000000001</v>
      </c>
      <c r="CS27" s="40">
        <f t="shared" si="13"/>
        <v>2150087.5</v>
      </c>
      <c r="CT27" s="40"/>
      <c r="CU27" s="85">
        <v>46553</v>
      </c>
      <c r="CW27" s="87"/>
      <c r="CZ27" s="40">
        <f t="shared" si="3"/>
        <v>0</v>
      </c>
      <c r="DA27" s="85"/>
      <c r="DB27" s="85">
        <v>46553</v>
      </c>
      <c r="DH27" s="85">
        <v>46553</v>
      </c>
      <c r="DI27" s="40">
        <v>10580000</v>
      </c>
      <c r="DJ27" s="87">
        <v>5.5E-2</v>
      </c>
      <c r="DK27" s="40">
        <v>956725</v>
      </c>
      <c r="DL27" s="40">
        <f t="shared" si="14"/>
        <v>11536725</v>
      </c>
      <c r="DN27" s="85">
        <v>46553</v>
      </c>
      <c r="DR27" s="40">
        <f t="shared" si="15"/>
        <v>0</v>
      </c>
      <c r="DT27" s="85">
        <v>46553</v>
      </c>
      <c r="DY27" s="40">
        <f t="shared" si="16"/>
        <v>0</v>
      </c>
      <c r="EA27" s="85">
        <v>46553</v>
      </c>
      <c r="EB27" s="40">
        <v>336848</v>
      </c>
      <c r="EC27" s="87">
        <v>6.7000000000000004E-2</v>
      </c>
      <c r="ED27" s="40">
        <v>0</v>
      </c>
      <c r="EE27" s="40">
        <v>2623152</v>
      </c>
      <c r="EF27" s="40">
        <f t="shared" si="17"/>
        <v>2960000</v>
      </c>
      <c r="EH27" s="85">
        <v>46553</v>
      </c>
      <c r="EM27" s="40">
        <f t="shared" si="18"/>
        <v>0</v>
      </c>
      <c r="EO27" s="85">
        <v>46553</v>
      </c>
      <c r="ET27" s="40">
        <f t="shared" si="19"/>
        <v>0</v>
      </c>
    </row>
    <row r="28" spans="1:150" x14ac:dyDescent="0.4">
      <c r="A28" s="118">
        <f t="shared" si="26"/>
        <v>49475</v>
      </c>
      <c r="B28" s="85">
        <v>49490</v>
      </c>
      <c r="C28" s="86">
        <f t="shared" si="4"/>
        <v>349946527.5</v>
      </c>
      <c r="D28" s="40">
        <f t="shared" si="5"/>
        <v>0</v>
      </c>
      <c r="F28" s="85">
        <v>46752</v>
      </c>
      <c r="G28" s="85"/>
      <c r="H28" s="85">
        <v>46736</v>
      </c>
      <c r="I28" s="40"/>
      <c r="O28" s="85">
        <v>46752</v>
      </c>
      <c r="P28" s="85"/>
      <c r="Q28" s="85">
        <v>46736</v>
      </c>
      <c r="R28" s="40">
        <f t="shared" si="20"/>
        <v>112990239.90000001</v>
      </c>
      <c r="S28" s="40">
        <f t="shared" si="21"/>
        <v>48730075</v>
      </c>
      <c r="T28" s="40">
        <f t="shared" si="22"/>
        <v>364760.1</v>
      </c>
      <c r="U28" s="40">
        <f t="shared" si="23"/>
        <v>0</v>
      </c>
      <c r="V28" s="40">
        <f t="shared" si="24"/>
        <v>162085075</v>
      </c>
      <c r="X28" s="85">
        <v>46736</v>
      </c>
      <c r="Y28" s="40">
        <v>920239.9</v>
      </c>
      <c r="Z28" s="101">
        <v>6.5000000000000002E-2</v>
      </c>
      <c r="AA28" s="40">
        <f t="shared" si="25"/>
        <v>751562.5</v>
      </c>
      <c r="AB28" s="40">
        <f>1285000-Y28</f>
        <v>364760.1</v>
      </c>
      <c r="AC28" s="40"/>
      <c r="AD28" s="40">
        <f t="shared" si="27"/>
        <v>2036562.5</v>
      </c>
      <c r="AF28" s="85">
        <v>46736</v>
      </c>
      <c r="AG28" s="40">
        <v>0</v>
      </c>
      <c r="AH28" s="101"/>
      <c r="AI28" s="40">
        <v>4750125</v>
      </c>
      <c r="AJ28" s="40">
        <v>0</v>
      </c>
      <c r="AK28" s="40"/>
      <c r="AL28" s="40">
        <f t="shared" si="6"/>
        <v>4750125</v>
      </c>
      <c r="AN28" s="85">
        <v>46736</v>
      </c>
      <c r="AO28" s="40">
        <v>1880000</v>
      </c>
      <c r="AP28" s="101">
        <v>0.05</v>
      </c>
      <c r="AQ28" s="40">
        <v>911875</v>
      </c>
      <c r="AR28" s="40">
        <v>0</v>
      </c>
      <c r="AS28" s="40">
        <f t="shared" si="7"/>
        <v>2791875</v>
      </c>
      <c r="AU28" s="85">
        <v>46736</v>
      </c>
      <c r="AV28" s="40">
        <v>0</v>
      </c>
      <c r="AW28" s="40"/>
      <c r="AX28" s="40">
        <v>3425625</v>
      </c>
      <c r="AY28" s="40">
        <v>0</v>
      </c>
      <c r="AZ28" s="40">
        <f t="shared" si="8"/>
        <v>3425625</v>
      </c>
      <c r="BB28" s="85">
        <v>46736</v>
      </c>
      <c r="BC28" s="40">
        <v>0</v>
      </c>
      <c r="BD28" s="40"/>
      <c r="BE28" s="40">
        <v>1655375</v>
      </c>
      <c r="BF28" s="40">
        <f t="shared" si="9"/>
        <v>1655375</v>
      </c>
      <c r="BH28" s="85">
        <v>46736</v>
      </c>
      <c r="BI28" s="40">
        <v>0</v>
      </c>
      <c r="BJ28" s="87">
        <v>0</v>
      </c>
      <c r="BK28" s="40">
        <f t="shared" si="0"/>
        <v>2426875</v>
      </c>
      <c r="BL28" s="40">
        <f t="shared" si="10"/>
        <v>2426875</v>
      </c>
      <c r="BN28" s="85">
        <v>46736</v>
      </c>
      <c r="BO28" s="40">
        <v>104355000</v>
      </c>
      <c r="BP28" s="87">
        <v>0.05</v>
      </c>
      <c r="BQ28" s="40">
        <v>11696437.5</v>
      </c>
      <c r="BR28" s="40">
        <v>0</v>
      </c>
      <c r="BS28" s="40">
        <f t="shared" si="1"/>
        <v>116051437.5</v>
      </c>
      <c r="BT28" s="67"/>
      <c r="BU28" s="85">
        <v>46736</v>
      </c>
      <c r="BW28" s="87"/>
      <c r="BZ28" s="67"/>
      <c r="CA28" s="85">
        <v>46736</v>
      </c>
      <c r="CB28" s="40">
        <v>0</v>
      </c>
      <c r="CC28" s="87">
        <v>0</v>
      </c>
      <c r="CD28" s="40">
        <v>18269725</v>
      </c>
      <c r="CE28" s="40">
        <v>0</v>
      </c>
      <c r="CF28" s="40">
        <f t="shared" si="11"/>
        <v>18269725</v>
      </c>
      <c r="CG28" s="67"/>
      <c r="CH28" s="85">
        <v>46736</v>
      </c>
      <c r="CI28" s="40"/>
      <c r="CJ28" s="87">
        <v>0</v>
      </c>
      <c r="CK28" s="40">
        <v>4176700</v>
      </c>
      <c r="CL28" s="40">
        <f t="shared" si="12"/>
        <v>4176700</v>
      </c>
      <c r="CM28" s="67"/>
      <c r="CN28" s="85">
        <v>46736</v>
      </c>
      <c r="CO28" s="40"/>
      <c r="CP28" s="87"/>
      <c r="CQ28" s="40">
        <v>0</v>
      </c>
      <c r="CR28" s="40">
        <v>0</v>
      </c>
      <c r="CS28" s="40">
        <f t="shared" si="13"/>
        <v>0</v>
      </c>
      <c r="CT28" s="40"/>
      <c r="CU28" s="85">
        <v>46736</v>
      </c>
      <c r="CW28" s="87"/>
      <c r="CZ28" s="40">
        <f t="shared" si="3"/>
        <v>0</v>
      </c>
      <c r="DA28" s="85"/>
      <c r="DB28" s="85">
        <v>46736</v>
      </c>
      <c r="DH28" s="85">
        <v>46736</v>
      </c>
      <c r="DI28" s="40">
        <v>5835000</v>
      </c>
      <c r="DJ28" s="87">
        <v>5.5E-2</v>
      </c>
      <c r="DK28" s="40">
        <v>665775</v>
      </c>
      <c r="DL28" s="40">
        <f t="shared" si="14"/>
        <v>6500775</v>
      </c>
      <c r="DN28" s="85">
        <v>46736</v>
      </c>
      <c r="DR28" s="40">
        <f t="shared" si="15"/>
        <v>0</v>
      </c>
      <c r="DT28" s="85">
        <v>46736</v>
      </c>
      <c r="DY28" s="40">
        <f t="shared" si="16"/>
        <v>0</v>
      </c>
      <c r="EA28" s="85">
        <v>46736</v>
      </c>
      <c r="EB28" s="40"/>
      <c r="EC28" s="87">
        <v>0</v>
      </c>
      <c r="ED28" s="40">
        <v>0</v>
      </c>
      <c r="EE28" s="40">
        <v>0</v>
      </c>
      <c r="EF28" s="40">
        <f t="shared" si="17"/>
        <v>0</v>
      </c>
      <c r="EH28" s="85">
        <v>46736</v>
      </c>
      <c r="EM28" s="40">
        <f t="shared" si="18"/>
        <v>0</v>
      </c>
      <c r="EO28" s="85">
        <v>46736</v>
      </c>
      <c r="ET28" s="40">
        <f t="shared" si="19"/>
        <v>0</v>
      </c>
    </row>
    <row r="29" spans="1:150" x14ac:dyDescent="0.4">
      <c r="A29" s="118">
        <f t="shared" si="26"/>
        <v>49841</v>
      </c>
      <c r="B29" s="85">
        <v>49856</v>
      </c>
      <c r="C29" s="86">
        <f t="shared" si="4"/>
        <v>349946785</v>
      </c>
      <c r="D29" s="40">
        <f t="shared" si="5"/>
        <v>0</v>
      </c>
      <c r="F29" s="85">
        <v>46934</v>
      </c>
      <c r="G29" s="85"/>
      <c r="H29" s="85">
        <v>46919</v>
      </c>
      <c r="I29" s="40">
        <f>SUM(Y28:Y29,AG28:AG29,AO28:AO29,AV28:AV29,BC28:BC29,BI28:BI29,BO28:BO29,BV28:BV29,CB28:CB29,CI28:CI29,CO28:CO29,CV28:CV29,DC28:DC29,DI28:DI29,DO28:DO29,DU28:DU29,EB28:EB29,EI28:EI29,EP28:EP29)</f>
        <v>128892927.2</v>
      </c>
      <c r="J29" s="40">
        <f>SUM(AA28:AA29,AI28:AI29,AQ28:AQ29,AX28:AX29,BE28:BE29,BK28:BK29,BQ28:BQ29,BX28:BX29,CD28:CD29,CK28:CK29,CQ28:CQ29,CX28:CX29,DE28:DE29,DK28:DK29,DQ28:DQ29,DW28:DW29,ED28:ED29,EK28:EK29,ER28:ER29)</f>
        <v>94602050</v>
      </c>
      <c r="K29" s="40">
        <f>SUM(AB28:AB29,AJ28:AJ29,AR28:AR29,AY28:AY29,BR28:BR29,CE28:CE29,CR28:CR29,CY28:CY29,DX28:DX29,EE28:EE29,EL28:EL29,ES28:ES29)</f>
        <v>83452072.799999997</v>
      </c>
      <c r="L29" s="40">
        <f>SUM(AC28:AC29,AK28:AK29)</f>
        <v>0</v>
      </c>
      <c r="M29" s="40">
        <f>SUM(I29:L29)</f>
        <v>306947050</v>
      </c>
      <c r="O29" s="85">
        <v>46934</v>
      </c>
      <c r="P29" s="85"/>
      <c r="Q29" s="85">
        <v>46919</v>
      </c>
      <c r="R29" s="40">
        <f t="shared" si="20"/>
        <v>15902687.300000001</v>
      </c>
      <c r="S29" s="40">
        <f t="shared" si="21"/>
        <v>45871975</v>
      </c>
      <c r="T29" s="40">
        <f t="shared" si="22"/>
        <v>83087312.700000003</v>
      </c>
      <c r="U29" s="40">
        <f t="shared" si="23"/>
        <v>0</v>
      </c>
      <c r="V29" s="40">
        <f t="shared" si="24"/>
        <v>144861975</v>
      </c>
      <c r="X29" s="85">
        <v>46919</v>
      </c>
      <c r="Y29" s="40"/>
      <c r="Z29" s="101"/>
      <c r="AA29" s="40">
        <f t="shared" si="25"/>
        <v>709800</v>
      </c>
      <c r="AB29" s="40"/>
      <c r="AC29" s="40"/>
      <c r="AD29" s="40">
        <f t="shared" si="27"/>
        <v>709800</v>
      </c>
      <c r="AF29" s="85">
        <v>46919</v>
      </c>
      <c r="AG29" s="40">
        <v>0</v>
      </c>
      <c r="AH29" s="101"/>
      <c r="AI29" s="40">
        <v>4750125</v>
      </c>
      <c r="AJ29" s="40">
        <v>0</v>
      </c>
      <c r="AK29" s="40"/>
      <c r="AL29" s="40">
        <f t="shared" si="6"/>
        <v>4750125</v>
      </c>
      <c r="AN29" s="85">
        <v>46919</v>
      </c>
      <c r="AO29" s="40">
        <v>0</v>
      </c>
      <c r="AQ29" s="40">
        <v>864875</v>
      </c>
      <c r="AR29" s="40">
        <v>0</v>
      </c>
      <c r="AS29" s="40">
        <f t="shared" si="7"/>
        <v>864875</v>
      </c>
      <c r="AU29" s="85">
        <v>46919</v>
      </c>
      <c r="AV29" s="40">
        <v>0</v>
      </c>
      <c r="AW29" s="40"/>
      <c r="AX29" s="40">
        <v>3425625</v>
      </c>
      <c r="AY29" s="40">
        <v>0</v>
      </c>
      <c r="AZ29" s="40">
        <f t="shared" si="8"/>
        <v>3425625</v>
      </c>
      <c r="BB29" s="85">
        <v>46919</v>
      </c>
      <c r="BC29" s="40">
        <v>0</v>
      </c>
      <c r="BD29" s="40"/>
      <c r="BE29" s="40">
        <v>1655375</v>
      </c>
      <c r="BF29" s="40">
        <f t="shared" si="9"/>
        <v>1655375</v>
      </c>
      <c r="BH29" s="85">
        <v>46919</v>
      </c>
      <c r="BI29" s="40">
        <v>0</v>
      </c>
      <c r="BJ29" s="87">
        <v>0</v>
      </c>
      <c r="BK29" s="40">
        <f t="shared" si="0"/>
        <v>2426875</v>
      </c>
      <c r="BL29" s="40">
        <f t="shared" si="10"/>
        <v>2426875</v>
      </c>
      <c r="BN29" s="85">
        <v>46919</v>
      </c>
      <c r="BO29" s="40">
        <v>0</v>
      </c>
      <c r="BP29" s="87">
        <v>0</v>
      </c>
      <c r="BQ29" s="40">
        <v>9087562.5</v>
      </c>
      <c r="BR29" s="40">
        <v>0</v>
      </c>
      <c r="BS29" s="40">
        <f t="shared" si="1"/>
        <v>9087562.5</v>
      </c>
      <c r="BT29" s="67"/>
      <c r="BU29" s="85">
        <v>46919</v>
      </c>
      <c r="BW29" s="87"/>
      <c r="BZ29" s="67"/>
      <c r="CA29" s="85">
        <v>46919</v>
      </c>
      <c r="CB29" s="40">
        <v>0</v>
      </c>
      <c r="CC29" s="87">
        <v>0</v>
      </c>
      <c r="CD29" s="40">
        <v>18269725</v>
      </c>
      <c r="CE29" s="40">
        <v>0</v>
      </c>
      <c r="CF29" s="40">
        <f t="shared" si="11"/>
        <v>18269725</v>
      </c>
      <c r="CG29" s="67"/>
      <c r="CH29" s="85">
        <v>46919</v>
      </c>
      <c r="CI29" s="40"/>
      <c r="CJ29" s="87">
        <v>0</v>
      </c>
      <c r="CK29" s="40">
        <v>4176700</v>
      </c>
      <c r="CL29" s="40">
        <f t="shared" si="12"/>
        <v>4176700</v>
      </c>
      <c r="CM29" s="67"/>
      <c r="CN29" s="85">
        <v>46919</v>
      </c>
      <c r="CO29" s="40"/>
      <c r="CP29" s="87"/>
      <c r="CQ29" s="40">
        <v>0</v>
      </c>
      <c r="CR29" s="40">
        <v>0</v>
      </c>
      <c r="CS29" s="40">
        <f t="shared" si="13"/>
        <v>0</v>
      </c>
      <c r="CT29" s="40"/>
      <c r="CU29" s="85">
        <v>46919</v>
      </c>
      <c r="CW29" s="87"/>
      <c r="CZ29" s="40">
        <f t="shared" si="3"/>
        <v>0</v>
      </c>
      <c r="DA29" s="85"/>
      <c r="DB29" s="85">
        <v>46919</v>
      </c>
      <c r="DH29" s="85">
        <v>46919</v>
      </c>
      <c r="DI29" s="40">
        <v>5995000</v>
      </c>
      <c r="DJ29" s="87">
        <v>5.5E-2</v>
      </c>
      <c r="DK29" s="40">
        <v>505312.5</v>
      </c>
      <c r="DL29" s="40">
        <f t="shared" si="14"/>
        <v>6500312.5</v>
      </c>
      <c r="DN29" s="85">
        <v>46919</v>
      </c>
      <c r="DR29" s="40">
        <f t="shared" si="15"/>
        <v>0</v>
      </c>
      <c r="DT29" s="85">
        <v>46919</v>
      </c>
      <c r="DY29" s="40">
        <f t="shared" si="16"/>
        <v>0</v>
      </c>
      <c r="EA29" s="85">
        <v>46919</v>
      </c>
      <c r="EB29" s="40">
        <v>9907687.3000000007</v>
      </c>
      <c r="EC29" s="87">
        <v>6.7000000000000004E-2</v>
      </c>
      <c r="ED29" s="40">
        <v>0</v>
      </c>
      <c r="EE29" s="40">
        <v>83087312.700000003</v>
      </c>
      <c r="EF29" s="40">
        <f t="shared" si="17"/>
        <v>92995000</v>
      </c>
      <c r="EH29" s="85">
        <v>46919</v>
      </c>
      <c r="EM29" s="40">
        <f t="shared" si="18"/>
        <v>0</v>
      </c>
      <c r="EO29" s="85">
        <v>46919</v>
      </c>
      <c r="ET29" s="40">
        <f t="shared" si="19"/>
        <v>0</v>
      </c>
    </row>
    <row r="30" spans="1:150" x14ac:dyDescent="0.4">
      <c r="A30" s="118">
        <f t="shared" si="26"/>
        <v>50206</v>
      </c>
      <c r="B30" s="85">
        <v>50221</v>
      </c>
      <c r="C30" s="86">
        <f t="shared" si="4"/>
        <v>349947547.5</v>
      </c>
      <c r="D30" s="40">
        <f t="shared" si="5"/>
        <v>0</v>
      </c>
      <c r="F30" s="85">
        <v>47118</v>
      </c>
      <c r="G30" s="85"/>
      <c r="H30" s="85">
        <v>47102</v>
      </c>
      <c r="I30" s="40"/>
      <c r="O30" s="85">
        <v>47118</v>
      </c>
      <c r="P30" s="85"/>
      <c r="Q30" s="85">
        <v>47102</v>
      </c>
      <c r="R30" s="40">
        <f t="shared" si="20"/>
        <v>134332466.19999999</v>
      </c>
      <c r="S30" s="40">
        <f t="shared" si="21"/>
        <v>45707112.5</v>
      </c>
      <c r="T30" s="40">
        <f t="shared" si="22"/>
        <v>377533.80000000005</v>
      </c>
      <c r="U30" s="40">
        <f t="shared" si="23"/>
        <v>0</v>
      </c>
      <c r="V30" s="40">
        <f t="shared" si="24"/>
        <v>180417112.5</v>
      </c>
      <c r="X30" s="85">
        <v>47102</v>
      </c>
      <c r="Y30" s="40">
        <v>952466.2</v>
      </c>
      <c r="Z30" s="101">
        <v>6.5000000000000002E-2</v>
      </c>
      <c r="AA30" s="40">
        <f t="shared" si="25"/>
        <v>709800</v>
      </c>
      <c r="AB30" s="40">
        <f>1330000-Y30</f>
        <v>377533.80000000005</v>
      </c>
      <c r="AC30" s="40"/>
      <c r="AD30" s="40">
        <f t="shared" si="27"/>
        <v>2039800</v>
      </c>
      <c r="AF30" s="85">
        <v>47102</v>
      </c>
      <c r="AG30" s="40">
        <v>0</v>
      </c>
      <c r="AH30" s="101"/>
      <c r="AI30" s="40">
        <v>4750125</v>
      </c>
      <c r="AJ30" s="40">
        <v>0</v>
      </c>
      <c r="AK30" s="40"/>
      <c r="AL30" s="40">
        <f t="shared" si="6"/>
        <v>4750125</v>
      </c>
      <c r="AN30" s="85">
        <v>47102</v>
      </c>
      <c r="AO30" s="40">
        <v>17520000</v>
      </c>
      <c r="AP30" s="101">
        <v>0.05</v>
      </c>
      <c r="AQ30" s="40">
        <v>864875</v>
      </c>
      <c r="AR30" s="40">
        <v>0</v>
      </c>
      <c r="AS30" s="40">
        <f t="shared" si="7"/>
        <v>18384875</v>
      </c>
      <c r="AU30" s="85">
        <v>47102</v>
      </c>
      <c r="AV30" s="40">
        <v>0</v>
      </c>
      <c r="AW30" s="40"/>
      <c r="AX30" s="40">
        <v>3425625</v>
      </c>
      <c r="AY30" s="40">
        <v>0</v>
      </c>
      <c r="AZ30" s="40">
        <f t="shared" si="8"/>
        <v>3425625</v>
      </c>
      <c r="BB30" s="85">
        <v>47102</v>
      </c>
      <c r="BC30" s="40">
        <v>0</v>
      </c>
      <c r="BD30" s="40"/>
      <c r="BE30" s="40">
        <v>1655375</v>
      </c>
      <c r="BF30" s="40">
        <f t="shared" si="9"/>
        <v>1655375</v>
      </c>
      <c r="BH30" s="85">
        <v>47102</v>
      </c>
      <c r="BI30" s="40">
        <v>0</v>
      </c>
      <c r="BJ30" s="87">
        <v>0</v>
      </c>
      <c r="BK30" s="40">
        <f t="shared" si="0"/>
        <v>2426875</v>
      </c>
      <c r="BL30" s="40">
        <f t="shared" si="10"/>
        <v>2426875</v>
      </c>
      <c r="BN30" s="85">
        <v>47102</v>
      </c>
      <c r="BO30" s="40">
        <v>109700000</v>
      </c>
      <c r="BP30" s="87">
        <v>0.05</v>
      </c>
      <c r="BQ30" s="40">
        <v>9087562.5</v>
      </c>
      <c r="BR30" s="40">
        <v>0</v>
      </c>
      <c r="BS30" s="40">
        <f t="shared" si="1"/>
        <v>118787562.5</v>
      </c>
      <c r="BT30" s="67"/>
      <c r="BU30" s="85">
        <v>47102</v>
      </c>
      <c r="BW30" s="87"/>
      <c r="BZ30" s="67"/>
      <c r="CA30" s="85">
        <v>47102</v>
      </c>
      <c r="CB30" s="40">
        <v>0</v>
      </c>
      <c r="CC30" s="87">
        <v>0</v>
      </c>
      <c r="CD30" s="40">
        <v>18269725</v>
      </c>
      <c r="CE30" s="40">
        <v>0</v>
      </c>
      <c r="CF30" s="40">
        <f t="shared" si="11"/>
        <v>18269725</v>
      </c>
      <c r="CG30" s="67"/>
      <c r="CH30" s="85">
        <v>47102</v>
      </c>
      <c r="CI30" s="40"/>
      <c r="CJ30" s="87">
        <v>0</v>
      </c>
      <c r="CK30" s="40">
        <v>4176700</v>
      </c>
      <c r="CL30" s="40">
        <f t="shared" si="12"/>
        <v>4176700</v>
      </c>
      <c r="CM30" s="67"/>
      <c r="CN30" s="85">
        <v>47102</v>
      </c>
      <c r="CO30" s="40"/>
      <c r="CP30" s="87"/>
      <c r="CQ30" s="40">
        <v>0</v>
      </c>
      <c r="CR30" s="40">
        <v>0</v>
      </c>
      <c r="CS30" s="40">
        <f t="shared" si="13"/>
        <v>0</v>
      </c>
      <c r="CT30" s="40"/>
      <c r="CU30" s="85">
        <v>47102</v>
      </c>
      <c r="CW30" s="87"/>
      <c r="CZ30" s="40">
        <f t="shared" si="3"/>
        <v>0</v>
      </c>
      <c r="DA30" s="85"/>
      <c r="DB30" s="85">
        <v>47102</v>
      </c>
      <c r="DH30" s="85">
        <v>47102</v>
      </c>
      <c r="DI30" s="40">
        <v>6160000</v>
      </c>
      <c r="DJ30" s="87">
        <v>5.5E-2</v>
      </c>
      <c r="DK30" s="40">
        <v>340450</v>
      </c>
      <c r="DL30" s="40">
        <f t="shared" si="14"/>
        <v>6500450</v>
      </c>
      <c r="DN30" s="85">
        <v>47102</v>
      </c>
      <c r="DR30" s="40">
        <f t="shared" si="15"/>
        <v>0</v>
      </c>
      <c r="DT30" s="85">
        <v>47102</v>
      </c>
      <c r="DY30" s="40">
        <f t="shared" si="16"/>
        <v>0</v>
      </c>
      <c r="EA30" s="85">
        <v>47102</v>
      </c>
      <c r="EB30" s="40"/>
      <c r="EC30" s="87">
        <v>0</v>
      </c>
      <c r="ED30" s="40">
        <v>0</v>
      </c>
      <c r="EE30" s="40">
        <v>0</v>
      </c>
      <c r="EF30" s="40">
        <f t="shared" si="17"/>
        <v>0</v>
      </c>
      <c r="EH30" s="85">
        <v>47102</v>
      </c>
      <c r="EM30" s="40">
        <f t="shared" si="18"/>
        <v>0</v>
      </c>
      <c r="EO30" s="85">
        <v>47102</v>
      </c>
      <c r="ET30" s="40">
        <f t="shared" si="19"/>
        <v>0</v>
      </c>
    </row>
    <row r="31" spans="1:150" x14ac:dyDescent="0.4">
      <c r="A31" s="118">
        <f t="shared" si="26"/>
        <v>50571</v>
      </c>
      <c r="B31" s="85">
        <v>50586</v>
      </c>
      <c r="C31" s="86">
        <f t="shared" si="4"/>
        <v>349948555</v>
      </c>
      <c r="D31" s="40">
        <f t="shared" si="5"/>
        <v>0</v>
      </c>
      <c r="F31" s="85">
        <v>47299</v>
      </c>
      <c r="G31" s="85"/>
      <c r="H31" s="85">
        <v>47284</v>
      </c>
      <c r="I31" s="40">
        <f>SUM(Y30:Y31,AG30:AG31,AO30:AO31,AV30:AV31,BC30:BC31,BI30:BI31,BO30:BO31,BV30:BV31,CB30:CB31,CI30:CI31,CO30:CO31,CV30:CV31,DC30:DC31,DI30:DI31,DO30:DO31,DU30:DU31,EB30:EB31,EI30:EI31,EP30:EP31)</f>
        <v>149827787.5</v>
      </c>
      <c r="J31" s="40">
        <f>SUM(AA30:AA31,AI30:AI31,AQ30:AQ31,AX30:AX31,BE30:BE31,BK30:BK31,BQ30:BQ31,BX30:BX31,CD30:CD31,CK30:CK31,CQ30:CQ31,CX30:CX31,DE30:DE31,DK30:DK31,DQ30:DQ31,DW30:DW31,ED30:ED31,EK30:EK31,ER30:ER31)</f>
        <v>88021100</v>
      </c>
      <c r="K31" s="40">
        <f>SUM(AB30:AB31,AJ30:AJ31,AR30:AR31,AY30:AY31,BR30:BR31,CE30:CE31,CR30:CR31,CY30:CY31,DX30:DX31,EE30:EE31,EL30:EL31,ES30:ES31)</f>
        <v>84097212.5</v>
      </c>
      <c r="L31" s="40">
        <f>SUM(AC30:AC31,AK30:AK31)</f>
        <v>0</v>
      </c>
      <c r="M31" s="40">
        <f>SUM(I31:L31)</f>
        <v>321946100</v>
      </c>
      <c r="O31" s="85">
        <v>47299</v>
      </c>
      <c r="P31" s="85"/>
      <c r="Q31" s="85">
        <v>47284</v>
      </c>
      <c r="R31" s="40">
        <f t="shared" si="20"/>
        <v>15495321.300000001</v>
      </c>
      <c r="S31" s="40">
        <f t="shared" si="21"/>
        <v>42313987.5</v>
      </c>
      <c r="T31" s="40">
        <f t="shared" si="22"/>
        <v>83719678.700000003</v>
      </c>
      <c r="U31" s="40">
        <f t="shared" si="23"/>
        <v>0</v>
      </c>
      <c r="V31" s="40">
        <f t="shared" si="24"/>
        <v>141528987.5</v>
      </c>
      <c r="X31" s="85">
        <v>47284</v>
      </c>
      <c r="Y31" s="40"/>
      <c r="Z31" s="101"/>
      <c r="AA31" s="40">
        <f t="shared" si="25"/>
        <v>666575</v>
      </c>
      <c r="AB31" s="40"/>
      <c r="AC31" s="40"/>
      <c r="AD31" s="40">
        <f t="shared" si="27"/>
        <v>666575</v>
      </c>
      <c r="AF31" s="85">
        <v>47284</v>
      </c>
      <c r="AG31" s="40">
        <v>0</v>
      </c>
      <c r="AH31" s="101"/>
      <c r="AI31" s="40">
        <v>4750125</v>
      </c>
      <c r="AJ31" s="40">
        <v>0</v>
      </c>
      <c r="AK31" s="40"/>
      <c r="AL31" s="40">
        <f t="shared" si="6"/>
        <v>4750125</v>
      </c>
      <c r="AN31" s="85">
        <v>47284</v>
      </c>
      <c r="AO31" s="40">
        <v>0</v>
      </c>
      <c r="AQ31" s="40">
        <v>426875</v>
      </c>
      <c r="AR31" s="40">
        <v>0</v>
      </c>
      <c r="AS31" s="40">
        <f t="shared" si="7"/>
        <v>426875</v>
      </c>
      <c r="AU31" s="85">
        <v>47284</v>
      </c>
      <c r="AV31" s="40">
        <v>0</v>
      </c>
      <c r="AW31" s="40"/>
      <c r="AX31" s="40">
        <v>3425625</v>
      </c>
      <c r="AY31" s="40">
        <v>0</v>
      </c>
      <c r="AZ31" s="40">
        <f t="shared" si="8"/>
        <v>3425625</v>
      </c>
      <c r="BB31" s="85">
        <v>47284</v>
      </c>
      <c r="BC31" s="40">
        <v>0</v>
      </c>
      <c r="BD31" s="40"/>
      <c r="BE31" s="40">
        <v>1655375</v>
      </c>
      <c r="BF31" s="40">
        <f t="shared" si="9"/>
        <v>1655375</v>
      </c>
      <c r="BH31" s="85">
        <v>47284</v>
      </c>
      <c r="BI31" s="40">
        <v>0</v>
      </c>
      <c r="BJ31" s="87">
        <v>0</v>
      </c>
      <c r="BK31" s="40">
        <f t="shared" si="0"/>
        <v>2426875</v>
      </c>
      <c r="BL31" s="40">
        <f t="shared" si="10"/>
        <v>2426875</v>
      </c>
      <c r="BN31" s="85">
        <v>47284</v>
      </c>
      <c r="BO31" s="40">
        <v>0</v>
      </c>
      <c r="BP31" s="87">
        <v>0</v>
      </c>
      <c r="BQ31" s="40">
        <v>6345062.5</v>
      </c>
      <c r="BR31" s="40">
        <v>0</v>
      </c>
      <c r="BS31" s="40">
        <f t="shared" si="1"/>
        <v>6345062.5</v>
      </c>
      <c r="BT31" s="67"/>
      <c r="BU31" s="85">
        <v>47284</v>
      </c>
      <c r="BW31" s="87"/>
      <c r="BZ31" s="67"/>
      <c r="CA31" s="85">
        <v>47284</v>
      </c>
      <c r="CB31" s="40">
        <v>0</v>
      </c>
      <c r="CC31" s="87">
        <v>0</v>
      </c>
      <c r="CD31" s="40">
        <v>18269725</v>
      </c>
      <c r="CE31" s="40">
        <v>0</v>
      </c>
      <c r="CF31" s="40">
        <f t="shared" si="11"/>
        <v>18269725</v>
      </c>
      <c r="CG31" s="67"/>
      <c r="CH31" s="85">
        <v>47284</v>
      </c>
      <c r="CI31" s="40"/>
      <c r="CJ31" s="87">
        <v>0</v>
      </c>
      <c r="CK31" s="40">
        <v>4176700</v>
      </c>
      <c r="CL31" s="40">
        <f t="shared" si="12"/>
        <v>4176700</v>
      </c>
      <c r="CM31" s="67"/>
      <c r="CN31" s="85">
        <v>47284</v>
      </c>
      <c r="CO31" s="40"/>
      <c r="CP31" s="87"/>
      <c r="CQ31" s="40">
        <v>0</v>
      </c>
      <c r="CR31" s="40">
        <v>0</v>
      </c>
      <c r="CS31" s="40">
        <f t="shared" si="13"/>
        <v>0</v>
      </c>
      <c r="CT31" s="40"/>
      <c r="CU31" s="85">
        <v>47284</v>
      </c>
      <c r="CW31" s="87"/>
      <c r="CZ31" s="40">
        <f t="shared" si="3"/>
        <v>0</v>
      </c>
      <c r="DA31" s="85"/>
      <c r="DB31" s="85">
        <v>47284</v>
      </c>
      <c r="DH31" s="85">
        <v>47284</v>
      </c>
      <c r="DI31" s="40">
        <v>6220000</v>
      </c>
      <c r="DJ31" s="87">
        <v>5.5E-2</v>
      </c>
      <c r="DK31" s="40">
        <v>171050</v>
      </c>
      <c r="DL31" s="40">
        <f t="shared" si="14"/>
        <v>6391050</v>
      </c>
      <c r="DN31" s="85">
        <v>47284</v>
      </c>
      <c r="DR31" s="40">
        <f t="shared" si="15"/>
        <v>0</v>
      </c>
      <c r="DT31" s="85">
        <v>47284</v>
      </c>
      <c r="DY31" s="40">
        <f t="shared" si="16"/>
        <v>0</v>
      </c>
      <c r="EA31" s="85">
        <v>47284</v>
      </c>
      <c r="EB31" s="40">
        <v>9275321.3000000007</v>
      </c>
      <c r="EC31" s="87">
        <v>6.7000000000000004E-2</v>
      </c>
      <c r="ED31" s="40">
        <v>0</v>
      </c>
      <c r="EE31" s="40">
        <v>83719678.700000003</v>
      </c>
      <c r="EF31" s="40">
        <f t="shared" si="17"/>
        <v>92995000</v>
      </c>
      <c r="EH31" s="85">
        <v>47284</v>
      </c>
      <c r="EM31" s="40">
        <f t="shared" si="18"/>
        <v>0</v>
      </c>
      <c r="EO31" s="85">
        <v>47284</v>
      </c>
      <c r="ET31" s="40">
        <f t="shared" si="19"/>
        <v>0</v>
      </c>
    </row>
    <row r="32" spans="1:150" x14ac:dyDescent="0.4">
      <c r="A32" s="118">
        <f t="shared" si="26"/>
        <v>50936</v>
      </c>
      <c r="B32" s="85">
        <v>50951</v>
      </c>
      <c r="C32" s="86">
        <f t="shared" si="4"/>
        <v>349949793.75</v>
      </c>
      <c r="D32" s="40">
        <f t="shared" si="5"/>
        <v>0</v>
      </c>
      <c r="F32" s="85">
        <v>47483</v>
      </c>
      <c r="G32" s="85"/>
      <c r="H32" s="85">
        <v>47467</v>
      </c>
      <c r="I32" s="40"/>
      <c r="O32" s="85">
        <v>47483</v>
      </c>
      <c r="P32" s="85"/>
      <c r="Q32" s="85">
        <v>47467</v>
      </c>
      <c r="R32" s="40">
        <f t="shared" si="20"/>
        <v>6595539.0499999998</v>
      </c>
      <c r="S32" s="40">
        <f t="shared" si="21"/>
        <v>42142937.5</v>
      </c>
      <c r="T32" s="40">
        <f t="shared" si="22"/>
        <v>155099460.94999999</v>
      </c>
      <c r="U32" s="40">
        <f t="shared" si="23"/>
        <v>0</v>
      </c>
      <c r="V32" s="40">
        <f t="shared" si="24"/>
        <v>203837937.5</v>
      </c>
      <c r="X32" s="85">
        <v>47467</v>
      </c>
      <c r="Y32" s="40"/>
      <c r="Z32" s="101"/>
      <c r="AA32" s="40">
        <f t="shared" si="25"/>
        <v>666575</v>
      </c>
      <c r="AB32" s="40"/>
      <c r="AC32" s="40"/>
      <c r="AD32" s="40">
        <f t="shared" si="27"/>
        <v>666575</v>
      </c>
      <c r="AF32" s="85">
        <v>47467</v>
      </c>
      <c r="AG32" s="40">
        <v>0</v>
      </c>
      <c r="AH32" s="101"/>
      <c r="AI32" s="40">
        <v>4750125</v>
      </c>
      <c r="AJ32" s="40">
        <v>0</v>
      </c>
      <c r="AK32" s="40"/>
      <c r="AL32" s="40">
        <f t="shared" si="6"/>
        <v>4750125</v>
      </c>
      <c r="AN32" s="85">
        <v>47467</v>
      </c>
      <c r="AO32" s="40">
        <v>0</v>
      </c>
      <c r="AQ32" s="40">
        <v>426875</v>
      </c>
      <c r="AR32" s="40">
        <v>0</v>
      </c>
      <c r="AS32" s="40">
        <f t="shared" si="7"/>
        <v>426875</v>
      </c>
      <c r="AU32" s="85">
        <v>47467</v>
      </c>
      <c r="AV32" s="40">
        <v>0</v>
      </c>
      <c r="AW32" s="40"/>
      <c r="AX32" s="40">
        <v>3425625</v>
      </c>
      <c r="AY32" s="40">
        <v>0</v>
      </c>
      <c r="AZ32" s="40">
        <f t="shared" si="8"/>
        <v>3425625</v>
      </c>
      <c r="BB32" s="85">
        <v>47467</v>
      </c>
      <c r="BC32" s="40">
        <v>0</v>
      </c>
      <c r="BD32" s="40"/>
      <c r="BE32" s="40">
        <v>1655375</v>
      </c>
      <c r="BF32" s="40">
        <f t="shared" si="9"/>
        <v>1655375</v>
      </c>
      <c r="BH32" s="85">
        <v>47467</v>
      </c>
      <c r="BI32" s="40">
        <v>0</v>
      </c>
      <c r="BJ32" s="87">
        <v>0</v>
      </c>
      <c r="BK32" s="40">
        <f t="shared" si="0"/>
        <v>2426875</v>
      </c>
      <c r="BL32" s="40">
        <f t="shared" si="10"/>
        <v>2426875</v>
      </c>
      <c r="BN32" s="85">
        <v>47467</v>
      </c>
      <c r="BO32" s="40">
        <v>0</v>
      </c>
      <c r="BP32" s="87">
        <v>0</v>
      </c>
      <c r="BQ32" s="40">
        <v>6345062.5</v>
      </c>
      <c r="BR32" s="40">
        <v>0</v>
      </c>
      <c r="BS32" s="40">
        <f t="shared" si="1"/>
        <v>6345062.5</v>
      </c>
      <c r="BT32" s="67"/>
      <c r="BU32" s="85">
        <v>47467</v>
      </c>
      <c r="BW32" s="87"/>
      <c r="BZ32" s="67"/>
      <c r="CA32" s="85">
        <v>47467</v>
      </c>
      <c r="CB32" s="40">
        <v>0</v>
      </c>
      <c r="CC32" s="87">
        <v>0</v>
      </c>
      <c r="CD32" s="40">
        <v>18269725</v>
      </c>
      <c r="CE32" s="40">
        <v>0</v>
      </c>
      <c r="CF32" s="40">
        <f t="shared" si="11"/>
        <v>18269725</v>
      </c>
      <c r="CG32" s="67"/>
      <c r="CH32" s="85">
        <v>47467</v>
      </c>
      <c r="CI32" s="40"/>
      <c r="CJ32" s="87">
        <v>0</v>
      </c>
      <c r="CK32" s="40">
        <v>4176700</v>
      </c>
      <c r="CL32" s="40">
        <f t="shared" si="12"/>
        <v>4176700</v>
      </c>
      <c r="CM32" s="67"/>
      <c r="CN32" s="85">
        <v>47467</v>
      </c>
      <c r="CO32" s="40">
        <v>6595539.0499999998</v>
      </c>
      <c r="CP32" s="87"/>
      <c r="CQ32" s="40">
        <v>0</v>
      </c>
      <c r="CR32" s="40">
        <v>155099460.94999999</v>
      </c>
      <c r="CS32" s="40">
        <f t="shared" si="13"/>
        <v>161695000</v>
      </c>
      <c r="CT32" s="40"/>
      <c r="CU32" s="85">
        <v>47467</v>
      </c>
      <c r="CW32" s="87"/>
      <c r="CZ32" s="40">
        <f t="shared" si="3"/>
        <v>0</v>
      </c>
      <c r="DA32" s="85"/>
      <c r="DB32" s="85">
        <v>47467</v>
      </c>
      <c r="DH32" s="85">
        <v>47467</v>
      </c>
      <c r="DL32" s="40">
        <f t="shared" si="14"/>
        <v>0</v>
      </c>
      <c r="DN32" s="85">
        <v>47467</v>
      </c>
      <c r="DR32" s="40">
        <f t="shared" si="15"/>
        <v>0</v>
      </c>
      <c r="DT32" s="85">
        <v>47467</v>
      </c>
      <c r="DY32" s="40">
        <f t="shared" si="16"/>
        <v>0</v>
      </c>
      <c r="EA32" s="85">
        <v>47467</v>
      </c>
      <c r="EF32" s="40">
        <f t="shared" si="17"/>
        <v>0</v>
      </c>
      <c r="EH32" s="85">
        <v>47467</v>
      </c>
      <c r="EM32" s="40">
        <f t="shared" si="18"/>
        <v>0</v>
      </c>
      <c r="EO32" s="85">
        <v>47467</v>
      </c>
      <c r="ET32" s="40">
        <f t="shared" si="19"/>
        <v>0</v>
      </c>
    </row>
    <row r="33" spans="1:150" x14ac:dyDescent="0.4">
      <c r="A33" s="118">
        <f t="shared" si="26"/>
        <v>51302</v>
      </c>
      <c r="B33" s="85">
        <v>51317</v>
      </c>
      <c r="C33" s="86">
        <f t="shared" si="4"/>
        <v>349090680</v>
      </c>
      <c r="D33" s="40">
        <f t="shared" si="5"/>
        <v>0</v>
      </c>
      <c r="F33" s="85">
        <v>47664</v>
      </c>
      <c r="G33" s="85"/>
      <c r="H33" s="85">
        <v>47649</v>
      </c>
      <c r="I33" s="40">
        <f>SUM(Y32:Y33,AG32:AG33,AO32:AO33,AV32:AV33,BC32:BC33,BI32:BI33,BO32:BO33,BV32:BV33,CB32:CB33,CI32:CI33,CO32:CO33,CV32:CV33,DC32:DC33,DI32:DI33,DO32:DO33,DU32:DU33,EB32:EB33,EI32:EI33,EP32:EP33)</f>
        <v>11062746.449999999</v>
      </c>
      <c r="J33" s="40">
        <f>SUM(AA32:AA33,AI32:AI33,AQ32:AQ33,AX32:AX33,BE32:BE33,BK32:BK33,BQ32:BQ33,BX32:BX33,CD32:CD33,CK32:CK33,CQ32:CQ33,CX32:CX33,DE32:DE33,DK32:DK33,DQ32:DQ33,DW32:DW33,ED32:ED33,EK32:EK33,ER32:ER33)</f>
        <v>84285875</v>
      </c>
      <c r="K33" s="40">
        <f>SUM(AB32:AB33,AJ32:AJ33,AR32:AR33,AY32:AY33,BR32:BR33,CE32:CE33,CR32:CR33,CY32:CY33,DX32:DX33,EE32:EE33,EL32:EL33,ES32:ES33)</f>
        <v>242597253.54999998</v>
      </c>
      <c r="L33" s="40">
        <f>SUM(AC32:AC33,AK32:AK33)</f>
        <v>0</v>
      </c>
      <c r="M33" s="40">
        <f>SUM(I33:L33)</f>
        <v>337945875</v>
      </c>
      <c r="O33" s="85">
        <v>47664</v>
      </c>
      <c r="P33" s="85"/>
      <c r="Q33" s="85">
        <v>47649</v>
      </c>
      <c r="R33" s="40">
        <f t="shared" si="20"/>
        <v>4467207.4000000004</v>
      </c>
      <c r="S33" s="40">
        <f t="shared" si="21"/>
        <v>42142937.5</v>
      </c>
      <c r="T33" s="40">
        <f t="shared" si="22"/>
        <v>87497792.600000009</v>
      </c>
      <c r="U33" s="40">
        <f t="shared" si="23"/>
        <v>0</v>
      </c>
      <c r="V33" s="40">
        <f t="shared" si="24"/>
        <v>134107937.5</v>
      </c>
      <c r="X33" s="85">
        <v>47649</v>
      </c>
      <c r="Y33" s="40">
        <v>981111.8</v>
      </c>
      <c r="Z33" s="101">
        <v>6.5000000000000002E-2</v>
      </c>
      <c r="AA33" s="40">
        <f t="shared" si="25"/>
        <v>666575</v>
      </c>
      <c r="AB33" s="40">
        <f>1370000-Y33</f>
        <v>388888.19999999995</v>
      </c>
      <c r="AC33" s="40"/>
      <c r="AD33" s="40">
        <f t="shared" si="27"/>
        <v>2036575</v>
      </c>
      <c r="AF33" s="85">
        <v>47649</v>
      </c>
      <c r="AG33" s="40">
        <v>0</v>
      </c>
      <c r="AH33" s="101"/>
      <c r="AI33" s="40">
        <v>4750125</v>
      </c>
      <c r="AJ33" s="40">
        <v>0</v>
      </c>
      <c r="AK33" s="40"/>
      <c r="AL33" s="40">
        <f t="shared" si="6"/>
        <v>4750125</v>
      </c>
      <c r="AN33" s="85">
        <v>47649</v>
      </c>
      <c r="AO33" s="40">
        <v>0</v>
      </c>
      <c r="AQ33" s="40">
        <v>426875</v>
      </c>
      <c r="AR33" s="40">
        <v>0</v>
      </c>
      <c r="AS33" s="40">
        <f t="shared" si="7"/>
        <v>426875</v>
      </c>
      <c r="AU33" s="85">
        <v>47649</v>
      </c>
      <c r="AV33" s="40">
        <v>0</v>
      </c>
      <c r="AW33" s="40"/>
      <c r="AX33" s="40">
        <v>3425625</v>
      </c>
      <c r="AY33" s="40">
        <v>0</v>
      </c>
      <c r="AZ33" s="40">
        <f t="shared" si="8"/>
        <v>3425625</v>
      </c>
      <c r="BB33" s="85">
        <v>47649</v>
      </c>
      <c r="BC33" s="40">
        <v>0</v>
      </c>
      <c r="BD33" s="40"/>
      <c r="BE33" s="40">
        <v>1655375</v>
      </c>
      <c r="BF33" s="40">
        <f t="shared" si="9"/>
        <v>1655375</v>
      </c>
      <c r="BH33" s="85">
        <v>47649</v>
      </c>
      <c r="BI33" s="40">
        <v>0</v>
      </c>
      <c r="BJ33" s="87">
        <v>0</v>
      </c>
      <c r="BK33" s="40">
        <f t="shared" si="0"/>
        <v>2426875</v>
      </c>
      <c r="BL33" s="40">
        <f t="shared" si="10"/>
        <v>2426875</v>
      </c>
      <c r="BN33" s="85">
        <v>47649</v>
      </c>
      <c r="BO33" s="40">
        <v>0</v>
      </c>
      <c r="BP33" s="87">
        <v>0</v>
      </c>
      <c r="BQ33" s="40">
        <v>6345062.5</v>
      </c>
      <c r="BR33" s="40">
        <v>0</v>
      </c>
      <c r="BS33" s="40">
        <f t="shared" si="1"/>
        <v>6345062.5</v>
      </c>
      <c r="BT33" s="67"/>
      <c r="BU33" s="85">
        <v>47649</v>
      </c>
      <c r="BW33" s="87"/>
      <c r="BZ33" s="67"/>
      <c r="CA33" s="85">
        <v>47649</v>
      </c>
      <c r="CB33" s="40">
        <v>0</v>
      </c>
      <c r="CC33" s="87">
        <v>0</v>
      </c>
      <c r="CD33" s="40">
        <v>18269725</v>
      </c>
      <c r="CE33" s="40">
        <v>0</v>
      </c>
      <c r="CF33" s="40">
        <f t="shared" si="11"/>
        <v>18269725</v>
      </c>
      <c r="CG33" s="67"/>
      <c r="CH33" s="85">
        <v>47649</v>
      </c>
      <c r="CI33" s="40"/>
      <c r="CJ33" s="87">
        <v>0</v>
      </c>
      <c r="CK33" s="40">
        <v>4176700</v>
      </c>
      <c r="CL33" s="40">
        <f t="shared" si="12"/>
        <v>4176700</v>
      </c>
      <c r="CM33" s="67"/>
      <c r="CN33" s="85">
        <v>47649</v>
      </c>
      <c r="CO33" s="40">
        <v>3486095.6</v>
      </c>
      <c r="CP33" s="87"/>
      <c r="CQ33" s="40">
        <v>0</v>
      </c>
      <c r="CR33" s="40">
        <v>87108904.400000006</v>
      </c>
      <c r="CS33" s="40">
        <f t="shared" si="13"/>
        <v>90595000</v>
      </c>
      <c r="CT33" s="40"/>
      <c r="CU33" s="85">
        <v>47649</v>
      </c>
      <c r="CW33" s="87"/>
      <c r="CZ33" s="40">
        <f t="shared" si="3"/>
        <v>0</v>
      </c>
      <c r="DA33" s="85"/>
      <c r="DB33" s="85">
        <v>47649</v>
      </c>
      <c r="DH33" s="85">
        <v>47649</v>
      </c>
      <c r="DL33" s="40">
        <f t="shared" si="14"/>
        <v>0</v>
      </c>
      <c r="DN33" s="85">
        <v>47649</v>
      </c>
      <c r="DR33" s="40">
        <f t="shared" si="15"/>
        <v>0</v>
      </c>
      <c r="DT33" s="85">
        <v>47649</v>
      </c>
      <c r="DY33" s="40">
        <f t="shared" si="16"/>
        <v>0</v>
      </c>
      <c r="EA33" s="85">
        <v>47649</v>
      </c>
      <c r="EF33" s="40">
        <f t="shared" si="17"/>
        <v>0</v>
      </c>
      <c r="EH33" s="85">
        <v>47649</v>
      </c>
      <c r="EM33" s="40">
        <f t="shared" si="18"/>
        <v>0</v>
      </c>
      <c r="EO33" s="85">
        <v>47649</v>
      </c>
      <c r="ET33" s="40">
        <f t="shared" si="19"/>
        <v>0</v>
      </c>
    </row>
    <row r="34" spans="1:150" x14ac:dyDescent="0.4">
      <c r="A34" s="118">
        <f t="shared" si="26"/>
        <v>51667</v>
      </c>
      <c r="B34" s="85">
        <v>51682</v>
      </c>
      <c r="C34" s="86">
        <f t="shared" si="4"/>
        <v>347241557.85000002</v>
      </c>
      <c r="D34" s="40">
        <f t="shared" si="5"/>
        <v>0</v>
      </c>
      <c r="F34" s="85">
        <v>47848</v>
      </c>
      <c r="G34" s="85"/>
      <c r="H34" s="85">
        <v>47832</v>
      </c>
      <c r="I34" s="40"/>
      <c r="O34" s="85">
        <v>47848</v>
      </c>
      <c r="P34" s="85"/>
      <c r="Q34" s="85">
        <v>47832</v>
      </c>
      <c r="R34" s="40">
        <f t="shared" si="20"/>
        <v>12504528.5</v>
      </c>
      <c r="S34" s="40">
        <f t="shared" si="21"/>
        <v>42098412.5</v>
      </c>
      <c r="T34" s="40">
        <f t="shared" si="22"/>
        <v>155825471.5</v>
      </c>
      <c r="U34" s="40">
        <f t="shared" si="23"/>
        <v>0</v>
      </c>
      <c r="V34" s="40">
        <f t="shared" si="24"/>
        <v>210428412.5</v>
      </c>
      <c r="X34" s="85">
        <v>47832</v>
      </c>
      <c r="Y34" s="40"/>
      <c r="Z34" s="101"/>
      <c r="AA34" s="40">
        <f t="shared" si="25"/>
        <v>622050</v>
      </c>
      <c r="AB34" s="40"/>
      <c r="AC34" s="40"/>
      <c r="AD34" s="40">
        <f t="shared" si="27"/>
        <v>622050</v>
      </c>
      <c r="AF34" s="85">
        <v>47832</v>
      </c>
      <c r="AG34" s="40">
        <v>0</v>
      </c>
      <c r="AH34" s="101"/>
      <c r="AI34" s="40">
        <v>4750125</v>
      </c>
      <c r="AJ34" s="40">
        <v>0</v>
      </c>
      <c r="AK34" s="40"/>
      <c r="AL34" s="40">
        <f t="shared" si="6"/>
        <v>4750125</v>
      </c>
      <c r="AN34" s="85">
        <v>47832</v>
      </c>
      <c r="AO34" s="40">
        <v>5360000</v>
      </c>
      <c r="AP34" s="101">
        <v>0.05</v>
      </c>
      <c r="AQ34" s="40">
        <v>426875</v>
      </c>
      <c r="AR34" s="40">
        <v>0</v>
      </c>
      <c r="AS34" s="40">
        <f t="shared" si="7"/>
        <v>5786875</v>
      </c>
      <c r="AU34" s="85">
        <v>47832</v>
      </c>
      <c r="AV34" s="40">
        <v>0</v>
      </c>
      <c r="AW34" s="40"/>
      <c r="AX34" s="40">
        <v>3425625</v>
      </c>
      <c r="AY34" s="40">
        <v>0</v>
      </c>
      <c r="AZ34" s="40">
        <f t="shared" si="8"/>
        <v>3425625</v>
      </c>
      <c r="BB34" s="85">
        <v>47832</v>
      </c>
      <c r="BC34" s="40">
        <v>1275000</v>
      </c>
      <c r="BD34" s="101">
        <v>0.05</v>
      </c>
      <c r="BE34" s="40">
        <v>1655375</v>
      </c>
      <c r="BF34" s="40">
        <f t="shared" si="9"/>
        <v>2930375</v>
      </c>
      <c r="BH34" s="85">
        <v>47832</v>
      </c>
      <c r="BI34" s="40">
        <v>0</v>
      </c>
      <c r="BJ34" s="87">
        <v>0</v>
      </c>
      <c r="BK34" s="40">
        <f t="shared" si="0"/>
        <v>2426875</v>
      </c>
      <c r="BL34" s="40">
        <f t="shared" si="10"/>
        <v>2426875</v>
      </c>
      <c r="BN34" s="85">
        <v>47832</v>
      </c>
      <c r="BO34" s="40">
        <v>0</v>
      </c>
      <c r="BP34" s="87">
        <v>0</v>
      </c>
      <c r="BQ34" s="40">
        <v>6345062.5</v>
      </c>
      <c r="BR34" s="40">
        <v>0</v>
      </c>
      <c r="BS34" s="40">
        <f t="shared" si="1"/>
        <v>6345062.5</v>
      </c>
      <c r="BT34" s="67"/>
      <c r="BU34" s="85">
        <v>47832</v>
      </c>
      <c r="BW34" s="87"/>
      <c r="BZ34" s="67"/>
      <c r="CA34" s="85">
        <v>47832</v>
      </c>
      <c r="CB34" s="40">
        <v>0</v>
      </c>
      <c r="CC34" s="87">
        <v>0</v>
      </c>
      <c r="CD34" s="40">
        <v>18269725</v>
      </c>
      <c r="CE34" s="40">
        <v>0</v>
      </c>
      <c r="CF34" s="40">
        <f t="shared" si="11"/>
        <v>18269725</v>
      </c>
      <c r="CG34" s="67"/>
      <c r="CH34" s="85">
        <v>47832</v>
      </c>
      <c r="CI34" s="40"/>
      <c r="CJ34" s="87">
        <v>0</v>
      </c>
      <c r="CK34" s="40">
        <v>4176700</v>
      </c>
      <c r="CL34" s="40">
        <f t="shared" si="12"/>
        <v>4176700</v>
      </c>
      <c r="CM34" s="67"/>
      <c r="CN34" s="85">
        <v>47832</v>
      </c>
      <c r="CO34" s="40">
        <v>5869528.5</v>
      </c>
      <c r="CP34" s="87"/>
      <c r="CQ34" s="40">
        <v>0</v>
      </c>
      <c r="CR34" s="40">
        <v>155825471.5</v>
      </c>
      <c r="CS34" s="40">
        <f t="shared" si="13"/>
        <v>161695000</v>
      </c>
      <c r="CT34" s="40"/>
      <c r="CU34" s="85">
        <v>47832</v>
      </c>
      <c r="CW34" s="87"/>
      <c r="CZ34" s="40">
        <f t="shared" si="3"/>
        <v>0</v>
      </c>
      <c r="DA34" s="85"/>
      <c r="DB34" s="85">
        <v>47832</v>
      </c>
      <c r="DH34" s="85">
        <v>47832</v>
      </c>
      <c r="DL34" s="40">
        <f t="shared" si="14"/>
        <v>0</v>
      </c>
      <c r="DN34" s="85">
        <v>47832</v>
      </c>
      <c r="DR34" s="40">
        <f t="shared" si="15"/>
        <v>0</v>
      </c>
      <c r="DT34" s="85">
        <v>47832</v>
      </c>
      <c r="DY34" s="40">
        <f t="shared" si="16"/>
        <v>0</v>
      </c>
      <c r="EA34" s="85">
        <v>47832</v>
      </c>
      <c r="EF34" s="40">
        <f t="shared" si="17"/>
        <v>0</v>
      </c>
      <c r="EH34" s="85">
        <v>47832</v>
      </c>
      <c r="EM34" s="40">
        <f t="shared" si="18"/>
        <v>0</v>
      </c>
      <c r="EO34" s="85">
        <v>47832</v>
      </c>
      <c r="ET34" s="40">
        <f t="shared" si="19"/>
        <v>0</v>
      </c>
    </row>
    <row r="35" spans="1:150" x14ac:dyDescent="0.4">
      <c r="A35" s="118">
        <f t="shared" si="26"/>
        <v>52032</v>
      </c>
      <c r="B35" s="85">
        <v>52047</v>
      </c>
      <c r="C35" s="86">
        <f t="shared" si="4"/>
        <v>347242123.75</v>
      </c>
      <c r="D35" s="40">
        <f t="shared" si="5"/>
        <v>0</v>
      </c>
      <c r="F35" s="85">
        <v>48029</v>
      </c>
      <c r="G35" s="85"/>
      <c r="H35" s="85">
        <v>48014</v>
      </c>
      <c r="I35" s="40">
        <f>SUM(Y34:Y35,AG34:AG35,AO34:AO35,AV34:AV35,BC34:BC35,BI34:BI35,BO34:BO35,BV34:BV35,CB34:CB35,CI34:CI35,CO34:CO35,CV34:CV35,DC34:DC35,DI34:DI35,DO34:DO35,DU34:DU35,EB34:EB35,EI34:EI35,EP34:EP35)</f>
        <v>17262937.800000001</v>
      </c>
      <c r="J35" s="40">
        <f>SUM(AA34:AA35,AI34:AI35,AQ34:AQ35,AX34:AX35,BE34:BE35,BK34:BK35,BQ34:BQ35,BX34:BX35,CD34:CD35,CK34:CK35,CQ34:CQ35,CX34:CX35,DE34:DE35,DK34:DK35,DQ34:DQ35,DW34:DW35,ED34:ED35,EK34:EK35,ER34:ER35)</f>
        <v>84030950</v>
      </c>
      <c r="K35" s="40">
        <f>SUM(AB34:AB35,AJ34:AJ35,AR34:AR35,AY34:AY35,BR34:BR35,CE34:CE35,CR34:CR35,CY34:CY35,DX34:DX35,EE34:EE35,EL34:EL35,ES34:ES35)</f>
        <v>248652062.20000002</v>
      </c>
      <c r="L35" s="40">
        <f>SUM(AC34:AC35,AK34:AK35)</f>
        <v>0</v>
      </c>
      <c r="M35" s="40">
        <f>SUM(I35:L35)</f>
        <v>349945950</v>
      </c>
      <c r="O35" s="85">
        <v>48029</v>
      </c>
      <c r="P35" s="85"/>
      <c r="Q35" s="85">
        <v>48014</v>
      </c>
      <c r="R35" s="40">
        <f t="shared" si="20"/>
        <v>4758409.3</v>
      </c>
      <c r="S35" s="40">
        <f t="shared" si="21"/>
        <v>41932537.5</v>
      </c>
      <c r="T35" s="40">
        <f t="shared" si="22"/>
        <v>92826590.700000003</v>
      </c>
      <c r="U35" s="40">
        <f t="shared" si="23"/>
        <v>0</v>
      </c>
      <c r="V35" s="40">
        <f t="shared" si="24"/>
        <v>139517537.5</v>
      </c>
      <c r="X35" s="85">
        <v>48014</v>
      </c>
      <c r="Y35" s="40">
        <v>1041983.7</v>
      </c>
      <c r="Z35" s="101">
        <v>6.5000000000000002E-2</v>
      </c>
      <c r="AA35" s="40">
        <f t="shared" si="25"/>
        <v>622050</v>
      </c>
      <c r="AB35" s="40">
        <f>1455000-Y35</f>
        <v>413016.30000000005</v>
      </c>
      <c r="AC35" s="40"/>
      <c r="AD35" s="40">
        <f t="shared" si="27"/>
        <v>2077050</v>
      </c>
      <c r="AF35" s="85">
        <v>48014</v>
      </c>
      <c r="AG35" s="40">
        <v>0</v>
      </c>
      <c r="AH35" s="101"/>
      <c r="AI35" s="40">
        <v>4750125</v>
      </c>
      <c r="AJ35" s="40">
        <v>0</v>
      </c>
      <c r="AK35" s="40"/>
      <c r="AL35" s="40">
        <f t="shared" si="6"/>
        <v>4750125</v>
      </c>
      <c r="AN35" s="85">
        <v>48014</v>
      </c>
      <c r="AO35" s="40">
        <v>0</v>
      </c>
      <c r="AQ35" s="40">
        <v>292875</v>
      </c>
      <c r="AR35" s="40">
        <v>0</v>
      </c>
      <c r="AS35" s="40">
        <f t="shared" si="7"/>
        <v>292875</v>
      </c>
      <c r="AU35" s="85">
        <v>48014</v>
      </c>
      <c r="AV35" s="40">
        <v>0</v>
      </c>
      <c r="AW35" s="40"/>
      <c r="AX35" s="40">
        <v>3425625</v>
      </c>
      <c r="AY35" s="40">
        <v>0</v>
      </c>
      <c r="AZ35" s="40">
        <f t="shared" si="8"/>
        <v>3425625</v>
      </c>
      <c r="BB35" s="85">
        <v>48014</v>
      </c>
      <c r="BC35" s="40">
        <v>440000</v>
      </c>
      <c r="BD35" s="101">
        <v>0.05</v>
      </c>
      <c r="BE35" s="40">
        <v>1623500</v>
      </c>
      <c r="BF35" s="40">
        <f t="shared" si="9"/>
        <v>2063500</v>
      </c>
      <c r="BH35" s="85">
        <v>48014</v>
      </c>
      <c r="BI35" s="40">
        <v>0</v>
      </c>
      <c r="BJ35" s="87">
        <v>0</v>
      </c>
      <c r="BK35" s="40">
        <f t="shared" si="0"/>
        <v>2426875</v>
      </c>
      <c r="BL35" s="40">
        <f t="shared" si="10"/>
        <v>2426875</v>
      </c>
      <c r="BN35" s="85">
        <v>48014</v>
      </c>
      <c r="BO35" s="40">
        <v>0</v>
      </c>
      <c r="BP35" s="87">
        <v>0</v>
      </c>
      <c r="BQ35" s="40">
        <v>6345062.5</v>
      </c>
      <c r="BR35" s="40">
        <v>0</v>
      </c>
      <c r="BS35" s="40">
        <f t="shared" si="1"/>
        <v>6345062.5</v>
      </c>
      <c r="BT35" s="67"/>
      <c r="BU35" s="85">
        <v>48014</v>
      </c>
      <c r="BW35" s="87"/>
      <c r="BZ35" s="67"/>
      <c r="CA35" s="85">
        <v>48014</v>
      </c>
      <c r="CB35" s="40">
        <v>0</v>
      </c>
      <c r="CC35" s="87">
        <v>0</v>
      </c>
      <c r="CD35" s="40">
        <v>18269725</v>
      </c>
      <c r="CE35" s="40">
        <v>0</v>
      </c>
      <c r="CF35" s="40">
        <f t="shared" si="11"/>
        <v>18269725</v>
      </c>
      <c r="CG35" s="67"/>
      <c r="CH35" s="85">
        <v>48014</v>
      </c>
      <c r="CI35" s="40"/>
      <c r="CJ35" s="87">
        <v>0</v>
      </c>
      <c r="CK35" s="40">
        <v>4176700</v>
      </c>
      <c r="CL35" s="40">
        <f t="shared" si="12"/>
        <v>4176700</v>
      </c>
      <c r="CM35" s="67"/>
      <c r="CN35" s="85">
        <v>48014</v>
      </c>
      <c r="CO35" s="40">
        <v>3276425.6</v>
      </c>
      <c r="CP35" s="87"/>
      <c r="CQ35" s="40">
        <v>0</v>
      </c>
      <c r="CR35" s="40">
        <v>92413574.400000006</v>
      </c>
      <c r="CS35" s="40">
        <f t="shared" si="13"/>
        <v>95690000</v>
      </c>
      <c r="CT35" s="40"/>
      <c r="CU35" s="85">
        <v>48014</v>
      </c>
      <c r="CW35" s="87"/>
      <c r="CZ35" s="40">
        <f t="shared" si="3"/>
        <v>0</v>
      </c>
      <c r="DA35" s="85"/>
      <c r="DB35" s="85">
        <v>48014</v>
      </c>
      <c r="DH35" s="85">
        <v>48014</v>
      </c>
      <c r="DL35" s="40">
        <f t="shared" si="14"/>
        <v>0</v>
      </c>
      <c r="DN35" s="85">
        <v>48014</v>
      </c>
      <c r="DR35" s="40">
        <f t="shared" si="15"/>
        <v>0</v>
      </c>
      <c r="DT35" s="85">
        <v>48014</v>
      </c>
      <c r="DY35" s="40">
        <f t="shared" si="16"/>
        <v>0</v>
      </c>
      <c r="EA35" s="85">
        <v>48014</v>
      </c>
      <c r="EF35" s="40">
        <f t="shared" si="17"/>
        <v>0</v>
      </c>
      <c r="EH35" s="85">
        <v>48014</v>
      </c>
      <c r="EM35" s="40">
        <f t="shared" si="18"/>
        <v>0</v>
      </c>
      <c r="EO35" s="85">
        <v>48014</v>
      </c>
      <c r="ET35" s="40">
        <f t="shared" si="19"/>
        <v>0</v>
      </c>
    </row>
    <row r="36" spans="1:150" x14ac:dyDescent="0.4">
      <c r="A36" s="118">
        <f t="shared" si="26"/>
        <v>52397</v>
      </c>
      <c r="B36" s="85">
        <v>52412</v>
      </c>
      <c r="C36" s="86">
        <f t="shared" si="4"/>
        <v>347240556.25</v>
      </c>
      <c r="D36" s="40">
        <f t="shared" si="5"/>
        <v>0</v>
      </c>
      <c r="F36" s="85">
        <v>48213</v>
      </c>
      <c r="G36" s="85"/>
      <c r="H36" s="85">
        <v>48197</v>
      </c>
      <c r="I36" s="40"/>
      <c r="O36" s="85">
        <v>48213</v>
      </c>
      <c r="P36" s="85"/>
      <c r="Q36" s="85">
        <v>48197</v>
      </c>
      <c r="R36" s="40">
        <f t="shared" si="20"/>
        <v>9725598.5500000007</v>
      </c>
      <c r="S36" s="40">
        <f t="shared" si="21"/>
        <v>43295001.25</v>
      </c>
      <c r="T36" s="40">
        <f t="shared" si="22"/>
        <v>156659401.45000002</v>
      </c>
      <c r="U36" s="40">
        <f t="shared" si="23"/>
        <v>0</v>
      </c>
      <c r="V36" s="40">
        <f t="shared" si="24"/>
        <v>209680001.25</v>
      </c>
      <c r="X36" s="85">
        <v>48197</v>
      </c>
      <c r="Y36" s="40">
        <v>476233.1</v>
      </c>
      <c r="Z36" s="101">
        <v>6.5000000000000002E-2</v>
      </c>
      <c r="AA36" s="40">
        <f t="shared" si="25"/>
        <v>574762.5</v>
      </c>
      <c r="AB36" s="40">
        <f>665000-Y36</f>
        <v>188766.90000000002</v>
      </c>
      <c r="AC36" s="40"/>
      <c r="AD36" s="40">
        <f t="shared" si="27"/>
        <v>1239762.5</v>
      </c>
      <c r="AF36" s="85">
        <v>48197</v>
      </c>
      <c r="AG36" s="40">
        <v>0</v>
      </c>
      <c r="AH36" s="101"/>
      <c r="AI36" s="40">
        <v>4750125</v>
      </c>
      <c r="AJ36" s="40">
        <v>0</v>
      </c>
      <c r="AK36" s="40"/>
      <c r="AL36" s="40">
        <f t="shared" si="6"/>
        <v>4750125</v>
      </c>
      <c r="AN36" s="85">
        <v>48197</v>
      </c>
      <c r="AO36" s="40">
        <v>2705000</v>
      </c>
      <c r="AP36" s="101">
        <v>0.05</v>
      </c>
      <c r="AQ36" s="40">
        <v>1713626.25</v>
      </c>
      <c r="AR36" s="40">
        <v>0</v>
      </c>
      <c r="AS36" s="40">
        <f t="shared" si="7"/>
        <v>4418626.25</v>
      </c>
      <c r="AU36" s="85">
        <v>48197</v>
      </c>
      <c r="AV36" s="40">
        <v>0</v>
      </c>
      <c r="AW36" s="40"/>
      <c r="AX36" s="40">
        <v>3425625</v>
      </c>
      <c r="AY36" s="40">
        <v>0</v>
      </c>
      <c r="AZ36" s="40">
        <f t="shared" si="8"/>
        <v>3425625</v>
      </c>
      <c r="BB36" s="85">
        <v>48197</v>
      </c>
      <c r="BC36" s="40">
        <v>1320000</v>
      </c>
      <c r="BD36" s="101">
        <v>0.05</v>
      </c>
      <c r="BE36" s="40">
        <v>1612500</v>
      </c>
      <c r="BF36" s="40">
        <f t="shared" si="9"/>
        <v>2932500</v>
      </c>
      <c r="BH36" s="85">
        <v>48197</v>
      </c>
      <c r="BI36" s="40">
        <v>0</v>
      </c>
      <c r="BJ36" s="87">
        <v>0</v>
      </c>
      <c r="BK36" s="40">
        <f t="shared" si="0"/>
        <v>2426875</v>
      </c>
      <c r="BL36" s="40">
        <f t="shared" si="10"/>
        <v>2426875</v>
      </c>
      <c r="BN36" s="85">
        <v>48197</v>
      </c>
      <c r="BO36" s="40">
        <v>0</v>
      </c>
      <c r="BP36" s="87">
        <v>0</v>
      </c>
      <c r="BQ36" s="40">
        <v>6345062.5</v>
      </c>
      <c r="BR36" s="40">
        <v>0</v>
      </c>
      <c r="BS36" s="40">
        <f t="shared" si="1"/>
        <v>6345062.5</v>
      </c>
      <c r="BT36" s="67"/>
      <c r="BU36" s="85">
        <v>48197</v>
      </c>
      <c r="BW36" s="87"/>
      <c r="BZ36" s="67"/>
      <c r="CA36" s="85">
        <v>48197</v>
      </c>
      <c r="CB36" s="40">
        <v>0</v>
      </c>
      <c r="CC36" s="87">
        <v>0</v>
      </c>
      <c r="CD36" s="40">
        <v>18269725</v>
      </c>
      <c r="CE36" s="40">
        <v>0</v>
      </c>
      <c r="CF36" s="40">
        <f t="shared" si="11"/>
        <v>18269725</v>
      </c>
      <c r="CG36" s="67"/>
      <c r="CH36" s="85">
        <v>48197</v>
      </c>
      <c r="CI36" s="40"/>
      <c r="CJ36" s="87">
        <v>0</v>
      </c>
      <c r="CK36" s="40">
        <v>4176700</v>
      </c>
      <c r="CL36" s="40">
        <f t="shared" si="12"/>
        <v>4176700</v>
      </c>
      <c r="CM36" s="67"/>
      <c r="CN36" s="85">
        <v>48197</v>
      </c>
      <c r="CO36" s="40">
        <v>5224365.45</v>
      </c>
      <c r="CP36" s="87"/>
      <c r="CQ36" s="40">
        <v>0</v>
      </c>
      <c r="CR36" s="40">
        <v>156470634.55000001</v>
      </c>
      <c r="CS36" s="40">
        <f t="shared" si="13"/>
        <v>161695000</v>
      </c>
      <c r="CT36" s="40"/>
      <c r="CU36" s="85">
        <v>48197</v>
      </c>
      <c r="CW36" s="87"/>
      <c r="CZ36" s="40">
        <f t="shared" si="3"/>
        <v>0</v>
      </c>
      <c r="DA36" s="85"/>
      <c r="DB36" s="85">
        <v>48197</v>
      </c>
      <c r="DH36" s="85">
        <v>48197</v>
      </c>
      <c r="DL36" s="40">
        <f t="shared" si="14"/>
        <v>0</v>
      </c>
      <c r="DN36" s="85">
        <v>48197</v>
      </c>
      <c r="DR36" s="40">
        <f t="shared" si="15"/>
        <v>0</v>
      </c>
      <c r="DT36" s="85">
        <v>48197</v>
      </c>
      <c r="DY36" s="40">
        <f t="shared" si="16"/>
        <v>0</v>
      </c>
      <c r="EA36" s="85">
        <v>48197</v>
      </c>
      <c r="EF36" s="40">
        <f t="shared" si="17"/>
        <v>0</v>
      </c>
      <c r="EH36" s="85">
        <v>48197</v>
      </c>
      <c r="EM36" s="40">
        <f t="shared" si="18"/>
        <v>0</v>
      </c>
      <c r="EO36" s="85">
        <v>48197</v>
      </c>
      <c r="ET36" s="40">
        <f t="shared" si="19"/>
        <v>0</v>
      </c>
    </row>
    <row r="37" spans="1:150" x14ac:dyDescent="0.4">
      <c r="A37" s="118">
        <f t="shared" si="26"/>
        <v>52763</v>
      </c>
      <c r="B37" s="85">
        <v>52778</v>
      </c>
      <c r="C37" s="86">
        <f t="shared" si="4"/>
        <v>347240740</v>
      </c>
      <c r="D37" s="40">
        <f t="shared" si="5"/>
        <v>0</v>
      </c>
      <c r="F37" s="85">
        <v>48395</v>
      </c>
      <c r="G37" s="85"/>
      <c r="H37" s="85">
        <v>48380</v>
      </c>
      <c r="I37" s="40">
        <f>SUM(Y36:Y37,AG36:AG37,AO36:AO37,AV36:AV37,BC36:BC37,BI36:BI37,BO36:BO37,BV36:BV37,CB36:CB37,CI36:CI37,CO36:CO37,CV36:CV37,DC36:DC37,DI36:DI37,DO36:DO37,DU36:DU37,EB36:EB37,EI36:EI37,EP36:EP37)</f>
        <v>13786078.550000001</v>
      </c>
      <c r="J37" s="40">
        <f>SUM(AA36:AA37,AI36:AI37,AQ36:AQ37,AX36:AX37,BE36:BE37,BK36:BK37,BQ36:BQ37,BX36:BX37,CD36:CD37,CK36:CK37,CQ36:CQ37,CX36:CX37,DE36:DE37,DK36:DK37,DQ36:DQ37,DW36:DW37,ED36:ED37,EK36:EK37,ER36:ER37)</f>
        <v>86467765</v>
      </c>
      <c r="K37" s="40">
        <f>SUM(AB36:AB37,AJ36:AJ37,AR36:AR37,AY36:AY37,BR36:BR37,CE36:CE37,CR36:CR37,CY36:CY37,DX36:DX37,EE36:EE37,EL36:EL37,ES36:ES37)</f>
        <v>249693921.44999999</v>
      </c>
      <c r="L37" s="40">
        <f>SUM(AC36:AC37,AK36:AK37)</f>
        <v>0</v>
      </c>
      <c r="M37" s="40">
        <f>SUM(I37:L37)</f>
        <v>349947765</v>
      </c>
      <c r="O37" s="85">
        <v>48395</v>
      </c>
      <c r="P37" s="85"/>
      <c r="Q37" s="85">
        <v>48380</v>
      </c>
      <c r="R37" s="40">
        <f t="shared" si="20"/>
        <v>4060480</v>
      </c>
      <c r="S37" s="40">
        <f t="shared" si="21"/>
        <v>43172763.75</v>
      </c>
      <c r="T37" s="40">
        <f t="shared" si="22"/>
        <v>93034520</v>
      </c>
      <c r="U37" s="40">
        <f t="shared" si="23"/>
        <v>0</v>
      </c>
      <c r="V37" s="40">
        <f t="shared" si="24"/>
        <v>140267763.75</v>
      </c>
      <c r="X37" s="85">
        <v>48380</v>
      </c>
      <c r="Y37" s="40">
        <v>658848.80000000005</v>
      </c>
      <c r="Z37" s="101">
        <v>6.5000000000000002E-2</v>
      </c>
      <c r="AA37" s="40">
        <f t="shared" si="25"/>
        <v>553150</v>
      </c>
      <c r="AB37" s="40">
        <f>920000-Y37</f>
        <v>261151.19999999995</v>
      </c>
      <c r="AC37" s="40"/>
      <c r="AD37" s="40">
        <f t="shared" si="27"/>
        <v>1473150</v>
      </c>
      <c r="AF37" s="85">
        <v>48380</v>
      </c>
      <c r="AG37" s="40">
        <v>0</v>
      </c>
      <c r="AH37" s="101"/>
      <c r="AI37" s="40">
        <v>4750125</v>
      </c>
      <c r="AJ37" s="40">
        <v>0</v>
      </c>
      <c r="AK37" s="40"/>
      <c r="AL37" s="40">
        <f t="shared" si="6"/>
        <v>4750125</v>
      </c>
      <c r="AN37" s="85">
        <v>48380</v>
      </c>
      <c r="AO37" s="40">
        <v>0</v>
      </c>
      <c r="AQ37" s="40">
        <v>1646001.25</v>
      </c>
      <c r="AR37" s="40">
        <v>0</v>
      </c>
      <c r="AS37" s="40">
        <f t="shared" si="7"/>
        <v>1646001.25</v>
      </c>
      <c r="AU37" s="85">
        <v>48380</v>
      </c>
      <c r="AV37" s="40">
        <v>0</v>
      </c>
      <c r="AW37" s="40"/>
      <c r="AX37" s="40">
        <v>3425625</v>
      </c>
      <c r="AY37" s="40">
        <v>0</v>
      </c>
      <c r="AZ37" s="40">
        <f t="shared" si="8"/>
        <v>3425625</v>
      </c>
      <c r="BB37" s="85">
        <v>48380</v>
      </c>
      <c r="BC37" s="40">
        <v>485000</v>
      </c>
      <c r="BD37" s="101">
        <v>0.05</v>
      </c>
      <c r="BE37" s="40">
        <v>1579500</v>
      </c>
      <c r="BF37" s="40">
        <f t="shared" si="9"/>
        <v>2064500</v>
      </c>
      <c r="BH37" s="85">
        <v>48380</v>
      </c>
      <c r="BI37" s="40">
        <v>0</v>
      </c>
      <c r="BJ37" s="87">
        <v>0</v>
      </c>
      <c r="BK37" s="40">
        <f t="shared" si="0"/>
        <v>2426875</v>
      </c>
      <c r="BL37" s="40">
        <f t="shared" si="10"/>
        <v>2426875</v>
      </c>
      <c r="BN37" s="85">
        <v>48380</v>
      </c>
      <c r="BO37" s="40">
        <v>0</v>
      </c>
      <c r="BP37" s="87">
        <v>0</v>
      </c>
      <c r="BQ37" s="40">
        <v>6345062.5</v>
      </c>
      <c r="BR37" s="40">
        <v>0</v>
      </c>
      <c r="BS37" s="40">
        <f t="shared" si="1"/>
        <v>6345062.5</v>
      </c>
      <c r="BT37" s="67"/>
      <c r="BU37" s="85">
        <v>48380</v>
      </c>
      <c r="BW37" s="87"/>
      <c r="BZ37" s="67"/>
      <c r="CA37" s="85">
        <v>48380</v>
      </c>
      <c r="CB37" s="40">
        <v>0</v>
      </c>
      <c r="CC37" s="87">
        <v>0</v>
      </c>
      <c r="CD37" s="40">
        <v>18269725</v>
      </c>
      <c r="CE37" s="40">
        <v>0</v>
      </c>
      <c r="CF37" s="40">
        <f t="shared" si="11"/>
        <v>18269725</v>
      </c>
      <c r="CG37" s="67"/>
      <c r="CH37" s="85">
        <v>48380</v>
      </c>
      <c r="CI37" s="40"/>
      <c r="CJ37" s="87">
        <v>0</v>
      </c>
      <c r="CK37" s="40">
        <v>4176700</v>
      </c>
      <c r="CL37" s="40">
        <f t="shared" si="12"/>
        <v>4176700</v>
      </c>
      <c r="CM37" s="67"/>
      <c r="CN37" s="85">
        <v>48380</v>
      </c>
      <c r="CO37" s="40">
        <v>2916631.2</v>
      </c>
      <c r="CP37" s="87"/>
      <c r="CQ37" s="40">
        <v>0</v>
      </c>
      <c r="CR37" s="40">
        <v>92773368.799999997</v>
      </c>
      <c r="CS37" s="40">
        <f t="shared" si="13"/>
        <v>95690000</v>
      </c>
      <c r="CT37" s="40"/>
      <c r="CU37" s="85">
        <v>48380</v>
      </c>
      <c r="CW37" s="87"/>
      <c r="CZ37" s="40">
        <f t="shared" si="3"/>
        <v>0</v>
      </c>
      <c r="DA37" s="85"/>
      <c r="DB37" s="85">
        <v>48380</v>
      </c>
      <c r="DH37" s="85">
        <v>48380</v>
      </c>
      <c r="DL37" s="40">
        <f t="shared" si="14"/>
        <v>0</v>
      </c>
      <c r="DN37" s="85">
        <v>48380</v>
      </c>
      <c r="DR37" s="40">
        <f t="shared" si="15"/>
        <v>0</v>
      </c>
      <c r="DT37" s="85">
        <v>48380</v>
      </c>
      <c r="DY37" s="40">
        <f t="shared" si="16"/>
        <v>0</v>
      </c>
      <c r="EA37" s="85">
        <v>48380</v>
      </c>
      <c r="EF37" s="40">
        <f t="shared" si="17"/>
        <v>0</v>
      </c>
      <c r="EH37" s="85">
        <v>48380</v>
      </c>
      <c r="EM37" s="40">
        <f t="shared" si="18"/>
        <v>0</v>
      </c>
      <c r="EO37" s="85">
        <v>48380</v>
      </c>
      <c r="ET37" s="40">
        <f t="shared" si="19"/>
        <v>0</v>
      </c>
    </row>
    <row r="38" spans="1:150" x14ac:dyDescent="0.4">
      <c r="A38" s="118">
        <f t="shared" si="26"/>
        <v>53128</v>
      </c>
      <c r="B38" s="85">
        <v>53143</v>
      </c>
      <c r="C38" s="86">
        <f t="shared" si="4"/>
        <v>347243482.5</v>
      </c>
      <c r="D38" s="40">
        <f t="shared" si="5"/>
        <v>0</v>
      </c>
      <c r="F38" s="85">
        <v>48579</v>
      </c>
      <c r="G38" s="85"/>
      <c r="H38" s="85">
        <v>48563</v>
      </c>
      <c r="I38" s="40"/>
      <c r="O38" s="85">
        <v>48579</v>
      </c>
      <c r="P38" s="85"/>
      <c r="Q38" s="85">
        <v>48563</v>
      </c>
      <c r="R38" s="40">
        <f t="shared" si="20"/>
        <v>9305576.6500000004</v>
      </c>
      <c r="S38" s="40">
        <f t="shared" si="21"/>
        <v>43130738.75</v>
      </c>
      <c r="T38" s="40">
        <f t="shared" si="22"/>
        <v>157219423.34999999</v>
      </c>
      <c r="U38" s="40">
        <f t="shared" si="23"/>
        <v>0</v>
      </c>
      <c r="V38" s="40">
        <f t="shared" si="24"/>
        <v>209655738.75</v>
      </c>
      <c r="X38" s="85">
        <v>48563</v>
      </c>
      <c r="Y38" s="40">
        <v>436845.4</v>
      </c>
      <c r="Z38" s="101">
        <v>6.5000000000000002E-2</v>
      </c>
      <c r="AA38" s="40">
        <f t="shared" si="25"/>
        <v>523250</v>
      </c>
      <c r="AB38" s="40">
        <f>610000-Y38</f>
        <v>173154.59999999998</v>
      </c>
      <c r="AC38" s="40"/>
      <c r="AD38" s="40">
        <f t="shared" si="27"/>
        <v>1133250</v>
      </c>
      <c r="AF38" s="85">
        <v>48563</v>
      </c>
      <c r="AG38" s="40">
        <v>0</v>
      </c>
      <c r="AH38" s="101"/>
      <c r="AI38" s="40">
        <v>4750125</v>
      </c>
      <c r="AJ38" s="40">
        <v>0</v>
      </c>
      <c r="AK38" s="40"/>
      <c r="AL38" s="40">
        <f t="shared" si="6"/>
        <v>4750125</v>
      </c>
      <c r="AN38" s="85">
        <v>48563</v>
      </c>
      <c r="AO38" s="40">
        <v>2855000</v>
      </c>
      <c r="AP38" s="101">
        <v>0.05</v>
      </c>
      <c r="AQ38" s="40">
        <v>1646001.25</v>
      </c>
      <c r="AR38" s="40">
        <v>0</v>
      </c>
      <c r="AS38" s="40">
        <f t="shared" si="7"/>
        <v>4501001.25</v>
      </c>
      <c r="AU38" s="85">
        <v>48563</v>
      </c>
      <c r="AV38" s="40">
        <v>0</v>
      </c>
      <c r="AW38" s="40"/>
      <c r="AX38" s="40">
        <v>3425625</v>
      </c>
      <c r="AY38" s="40">
        <v>0</v>
      </c>
      <c r="AZ38" s="40">
        <f t="shared" si="8"/>
        <v>3425625</v>
      </c>
      <c r="BB38" s="85">
        <v>48563</v>
      </c>
      <c r="BC38" s="40">
        <v>1365000</v>
      </c>
      <c r="BD38" s="101">
        <v>0.05</v>
      </c>
      <c r="BE38" s="40">
        <v>1567375</v>
      </c>
      <c r="BF38" s="40">
        <f t="shared" si="9"/>
        <v>2932375</v>
      </c>
      <c r="BH38" s="85">
        <v>48563</v>
      </c>
      <c r="BI38" s="40">
        <v>0</v>
      </c>
      <c r="BJ38" s="87">
        <v>0</v>
      </c>
      <c r="BK38" s="40">
        <f t="shared" si="0"/>
        <v>2426875</v>
      </c>
      <c r="BL38" s="40">
        <f t="shared" si="10"/>
        <v>2426875</v>
      </c>
      <c r="BN38" s="85">
        <v>48563</v>
      </c>
      <c r="BO38" s="40">
        <v>0</v>
      </c>
      <c r="BP38" s="87">
        <v>0</v>
      </c>
      <c r="BQ38" s="40">
        <v>6345062.5</v>
      </c>
      <c r="BR38" s="40">
        <v>0</v>
      </c>
      <c r="BS38" s="40">
        <f t="shared" si="1"/>
        <v>6345062.5</v>
      </c>
      <c r="BT38" s="67"/>
      <c r="BU38" s="85">
        <v>48563</v>
      </c>
      <c r="BW38" s="87"/>
      <c r="BZ38" s="67"/>
      <c r="CA38" s="85">
        <v>48563</v>
      </c>
      <c r="CB38" s="40">
        <v>0</v>
      </c>
      <c r="CC38" s="87">
        <v>0</v>
      </c>
      <c r="CD38" s="40">
        <v>18269725</v>
      </c>
      <c r="CE38" s="40">
        <v>0</v>
      </c>
      <c r="CF38" s="40">
        <f t="shared" si="11"/>
        <v>18269725</v>
      </c>
      <c r="CG38" s="67"/>
      <c r="CH38" s="85">
        <v>48563</v>
      </c>
      <c r="CI38" s="40"/>
      <c r="CJ38" s="87">
        <v>0</v>
      </c>
      <c r="CK38" s="40">
        <v>4176700</v>
      </c>
      <c r="CL38" s="40">
        <f t="shared" si="12"/>
        <v>4176700</v>
      </c>
      <c r="CM38" s="67"/>
      <c r="CN38" s="85">
        <v>48563</v>
      </c>
      <c r="CO38" s="40">
        <v>4648731.25</v>
      </c>
      <c r="CP38" s="87"/>
      <c r="CQ38" s="40">
        <v>0</v>
      </c>
      <c r="CR38" s="40">
        <v>157046268.75</v>
      </c>
      <c r="CS38" s="40">
        <f t="shared" si="13"/>
        <v>161695000</v>
      </c>
      <c r="CT38" s="40"/>
      <c r="CU38" s="85">
        <v>48563</v>
      </c>
      <c r="CW38" s="87"/>
      <c r="CZ38" s="40">
        <f t="shared" si="3"/>
        <v>0</v>
      </c>
      <c r="DA38" s="85"/>
      <c r="DB38" s="85">
        <v>48563</v>
      </c>
      <c r="DH38" s="85">
        <v>48563</v>
      </c>
      <c r="DL38" s="40">
        <f t="shared" si="14"/>
        <v>0</v>
      </c>
      <c r="DN38" s="85">
        <v>48563</v>
      </c>
      <c r="DR38" s="40">
        <f t="shared" si="15"/>
        <v>0</v>
      </c>
      <c r="DT38" s="85">
        <v>48563</v>
      </c>
      <c r="DY38" s="40">
        <f t="shared" si="16"/>
        <v>0</v>
      </c>
      <c r="EA38" s="85">
        <v>48563</v>
      </c>
      <c r="EF38" s="40">
        <f t="shared" si="17"/>
        <v>0</v>
      </c>
      <c r="EH38" s="85">
        <v>48563</v>
      </c>
      <c r="EM38" s="40">
        <f t="shared" si="18"/>
        <v>0</v>
      </c>
      <c r="EO38" s="85">
        <v>48563</v>
      </c>
      <c r="ET38" s="40">
        <f t="shared" si="19"/>
        <v>0</v>
      </c>
    </row>
    <row r="39" spans="1:150" x14ac:dyDescent="0.4">
      <c r="A39" s="118">
        <f t="shared" si="26"/>
        <v>53493</v>
      </c>
      <c r="B39" s="85">
        <v>53508</v>
      </c>
      <c r="C39" s="86">
        <f t="shared" si="4"/>
        <v>347240226.25</v>
      </c>
      <c r="D39" s="40">
        <f t="shared" si="5"/>
        <v>0</v>
      </c>
      <c r="F39" s="85">
        <v>48760</v>
      </c>
      <c r="G39" s="85"/>
      <c r="H39" s="85">
        <v>48745</v>
      </c>
      <c r="I39" s="40">
        <f>SUM(Y38:Y39,AG38:AG39,AO38:AO39,AV38:AV39,BC38:BC39,BI38:BI39,BO38:BO39,BV38:BV39,CB38:CB39,CI38:CI39,CO38:CO39,CV38:CV39,DC38:DC39,DI38:DI39,DO38:DO39,DU38:DU39,EB38:EB39,EI38:EI39,EP38:EP39)</f>
        <v>13194797.850000001</v>
      </c>
      <c r="J39" s="40">
        <f>SUM(AA38:AA39,AI38:AI39,AQ38:AQ39,AX38:AX39,BE38:BE39,BK38:BK39,BQ38:BQ39,BX38:BX39,CD38:CD39,CK38:CK39,CQ38:CQ39,CX38:CX39,DE38:DE39,DK38:DK39,DQ38:DQ39,DW38:DW39,ED38:ED39,EK38:EK39,ER38:ER39)</f>
        <v>86136152.5</v>
      </c>
      <c r="K39" s="40">
        <f>SUM(AB38:AB39,AJ38:AJ39,AR38:AR39,AY38:AY39,BR38:BR39,CE38:CE39,CR38:CR39,CY38:CY39,DX38:DX39,EE38:EE39,EL38:EL39,ES38:ES39)</f>
        <v>250615202.14999998</v>
      </c>
      <c r="L39" s="40">
        <f>SUM(AC38:AC39,AK38:AK39)</f>
        <v>0</v>
      </c>
      <c r="M39" s="40">
        <f>SUM(I39:L39)</f>
        <v>349946152.5</v>
      </c>
      <c r="O39" s="85">
        <v>48760</v>
      </c>
      <c r="P39" s="85"/>
      <c r="Q39" s="85">
        <v>48745</v>
      </c>
      <c r="R39" s="40">
        <f t="shared" si="20"/>
        <v>3889221.1999999997</v>
      </c>
      <c r="S39" s="40">
        <f t="shared" si="21"/>
        <v>43005413.75</v>
      </c>
      <c r="T39" s="40">
        <f t="shared" si="22"/>
        <v>93395778.799999997</v>
      </c>
      <c r="U39" s="40">
        <f t="shared" si="23"/>
        <v>0</v>
      </c>
      <c r="V39" s="40">
        <f t="shared" si="24"/>
        <v>140290413.75</v>
      </c>
      <c r="X39" s="85">
        <v>48745</v>
      </c>
      <c r="Y39" s="40">
        <v>759108.4</v>
      </c>
      <c r="Z39" s="101">
        <v>6.5000000000000002E-2</v>
      </c>
      <c r="AA39" s="40">
        <f t="shared" si="25"/>
        <v>503425</v>
      </c>
      <c r="AB39" s="40">
        <f>1060000-Y39</f>
        <v>300891.59999999998</v>
      </c>
      <c r="AC39" s="40"/>
      <c r="AD39" s="40">
        <f t="shared" si="27"/>
        <v>1563425</v>
      </c>
      <c r="AF39" s="85">
        <v>48745</v>
      </c>
      <c r="AG39" s="40">
        <v>0</v>
      </c>
      <c r="AH39" s="101"/>
      <c r="AI39" s="40">
        <v>4750125</v>
      </c>
      <c r="AJ39" s="40">
        <v>0</v>
      </c>
      <c r="AK39" s="40"/>
      <c r="AL39" s="40">
        <f t="shared" si="6"/>
        <v>4750125</v>
      </c>
      <c r="AN39" s="85">
        <v>48745</v>
      </c>
      <c r="AO39" s="40">
        <v>0</v>
      </c>
      <c r="AQ39" s="40">
        <v>1574626.25</v>
      </c>
      <c r="AR39" s="40">
        <v>0</v>
      </c>
      <c r="AS39" s="40">
        <f t="shared" si="7"/>
        <v>1574626.25</v>
      </c>
      <c r="AU39" s="85">
        <v>48745</v>
      </c>
      <c r="AV39" s="40">
        <v>0</v>
      </c>
      <c r="AW39" s="40"/>
      <c r="AX39" s="40">
        <v>3425625</v>
      </c>
      <c r="AY39" s="40">
        <v>0</v>
      </c>
      <c r="AZ39" s="40">
        <f t="shared" si="8"/>
        <v>3425625</v>
      </c>
      <c r="BB39" s="85">
        <v>48745</v>
      </c>
      <c r="BC39" s="40">
        <v>535000</v>
      </c>
      <c r="BD39" s="101">
        <v>0.05</v>
      </c>
      <c r="BE39" s="40">
        <v>1533250</v>
      </c>
      <c r="BF39" s="40">
        <f t="shared" si="9"/>
        <v>2068250</v>
      </c>
      <c r="BH39" s="85">
        <v>48745</v>
      </c>
      <c r="BI39" s="40">
        <v>0</v>
      </c>
      <c r="BJ39" s="87">
        <v>0</v>
      </c>
      <c r="BK39" s="40">
        <f t="shared" si="0"/>
        <v>2426875</v>
      </c>
      <c r="BL39" s="40">
        <f t="shared" si="10"/>
        <v>2426875</v>
      </c>
      <c r="BN39" s="85">
        <v>48745</v>
      </c>
      <c r="BO39" s="40">
        <v>0</v>
      </c>
      <c r="BP39" s="87">
        <v>0</v>
      </c>
      <c r="BQ39" s="40">
        <v>6345062.5</v>
      </c>
      <c r="BR39" s="40">
        <v>0</v>
      </c>
      <c r="BS39" s="40">
        <f t="shared" si="1"/>
        <v>6345062.5</v>
      </c>
      <c r="BT39" s="67"/>
      <c r="BU39" s="85">
        <v>48745</v>
      </c>
      <c r="BW39" s="87"/>
      <c r="BZ39" s="67"/>
      <c r="CA39" s="85">
        <v>48745</v>
      </c>
      <c r="CB39" s="40">
        <v>0</v>
      </c>
      <c r="CC39" s="87">
        <v>0</v>
      </c>
      <c r="CD39" s="40">
        <v>18269725</v>
      </c>
      <c r="CE39" s="40">
        <v>0</v>
      </c>
      <c r="CF39" s="40">
        <f t="shared" si="11"/>
        <v>18269725</v>
      </c>
      <c r="CG39" s="67"/>
      <c r="CH39" s="85">
        <v>48745</v>
      </c>
      <c r="CI39" s="40"/>
      <c r="CJ39" s="87">
        <v>0</v>
      </c>
      <c r="CK39" s="40">
        <v>4176700</v>
      </c>
      <c r="CL39" s="40">
        <f t="shared" si="12"/>
        <v>4176700</v>
      </c>
      <c r="CM39" s="67"/>
      <c r="CN39" s="85">
        <v>48745</v>
      </c>
      <c r="CO39" s="40">
        <v>2595112.7999999998</v>
      </c>
      <c r="CP39" s="87"/>
      <c r="CQ39" s="40">
        <v>0</v>
      </c>
      <c r="CR39" s="40">
        <v>93094887.200000003</v>
      </c>
      <c r="CS39" s="40">
        <f t="shared" si="13"/>
        <v>95690000</v>
      </c>
      <c r="CT39" s="40"/>
      <c r="CU39" s="85">
        <v>48745</v>
      </c>
      <c r="CW39" s="87"/>
      <c r="CZ39" s="40">
        <f t="shared" si="3"/>
        <v>0</v>
      </c>
      <c r="DA39" s="85"/>
      <c r="DB39" s="85">
        <v>48745</v>
      </c>
      <c r="DH39" s="85">
        <v>48745</v>
      </c>
      <c r="DL39" s="40">
        <f t="shared" si="14"/>
        <v>0</v>
      </c>
      <c r="DN39" s="85">
        <v>48745</v>
      </c>
      <c r="DR39" s="40">
        <f t="shared" si="15"/>
        <v>0</v>
      </c>
      <c r="DT39" s="85">
        <v>48745</v>
      </c>
      <c r="DY39" s="40">
        <f t="shared" si="16"/>
        <v>0</v>
      </c>
      <c r="EA39" s="85">
        <v>48745</v>
      </c>
      <c r="EF39" s="40">
        <f t="shared" si="17"/>
        <v>0</v>
      </c>
      <c r="EH39" s="85">
        <v>48745</v>
      </c>
      <c r="EM39" s="40">
        <f t="shared" si="18"/>
        <v>0</v>
      </c>
      <c r="EO39" s="85">
        <v>48745</v>
      </c>
      <c r="ET39" s="40">
        <f t="shared" si="19"/>
        <v>0</v>
      </c>
    </row>
    <row r="40" spans="1:150" x14ac:dyDescent="0.4">
      <c r="A40" s="118">
        <f t="shared" si="26"/>
        <v>53858</v>
      </c>
      <c r="B40" s="85">
        <v>53873</v>
      </c>
      <c r="C40" s="86">
        <f t="shared" si="4"/>
        <v>347243846.25</v>
      </c>
      <c r="D40" s="40">
        <f t="shared" si="5"/>
        <v>0</v>
      </c>
      <c r="F40" s="85">
        <v>48944</v>
      </c>
      <c r="G40" s="85"/>
      <c r="H40" s="85">
        <v>48928</v>
      </c>
      <c r="I40" s="40"/>
      <c r="O40" s="85">
        <v>48944</v>
      </c>
      <c r="P40" s="85"/>
      <c r="Q40" s="85">
        <v>48928</v>
      </c>
      <c r="R40" s="40">
        <f t="shared" si="20"/>
        <v>8961716.9499999993</v>
      </c>
      <c r="S40" s="40">
        <f t="shared" si="21"/>
        <v>42957588.75</v>
      </c>
      <c r="T40" s="40">
        <f t="shared" si="22"/>
        <v>157723283.04999998</v>
      </c>
      <c r="U40" s="40">
        <f t="shared" si="23"/>
        <v>0</v>
      </c>
      <c r="V40" s="40">
        <f t="shared" si="24"/>
        <v>209642588.75</v>
      </c>
      <c r="X40" s="85">
        <v>48928</v>
      </c>
      <c r="Y40" s="40">
        <v>418941.9</v>
      </c>
      <c r="Z40" s="101">
        <v>6.5000000000000002E-2</v>
      </c>
      <c r="AA40" s="40">
        <f t="shared" si="25"/>
        <v>468975</v>
      </c>
      <c r="AB40" s="40">
        <f>585000-Y40</f>
        <v>166058.09999999998</v>
      </c>
      <c r="AC40" s="40"/>
      <c r="AD40" s="40">
        <f t="shared" si="27"/>
        <v>1053975</v>
      </c>
      <c r="AF40" s="85">
        <v>48928</v>
      </c>
      <c r="AG40" s="40">
        <v>0</v>
      </c>
      <c r="AH40" s="101"/>
      <c r="AI40" s="40">
        <v>4750125</v>
      </c>
      <c r="AJ40" s="40">
        <v>0</v>
      </c>
      <c r="AK40" s="40"/>
      <c r="AL40" s="40">
        <f t="shared" si="6"/>
        <v>4750125</v>
      </c>
      <c r="AN40" s="85">
        <v>48928</v>
      </c>
      <c r="AO40" s="40">
        <v>2995000</v>
      </c>
      <c r="AP40" s="101">
        <v>0.05</v>
      </c>
      <c r="AQ40" s="40">
        <v>1574626.25</v>
      </c>
      <c r="AR40" s="40">
        <v>0</v>
      </c>
      <c r="AS40" s="40">
        <f t="shared" si="7"/>
        <v>4569626.25</v>
      </c>
      <c r="AU40" s="85">
        <v>48928</v>
      </c>
      <c r="AV40" s="40">
        <v>0</v>
      </c>
      <c r="AW40" s="40"/>
      <c r="AX40" s="40">
        <v>3425625</v>
      </c>
      <c r="AY40" s="40">
        <v>0</v>
      </c>
      <c r="AZ40" s="40">
        <f t="shared" si="8"/>
        <v>3425625</v>
      </c>
      <c r="BB40" s="85">
        <v>48928</v>
      </c>
      <c r="BC40" s="40">
        <v>1410000</v>
      </c>
      <c r="BD40" s="101">
        <v>0.05</v>
      </c>
      <c r="BE40" s="40">
        <v>1519875</v>
      </c>
      <c r="BF40" s="40">
        <f t="shared" si="9"/>
        <v>2929875</v>
      </c>
      <c r="BH40" s="85">
        <v>48928</v>
      </c>
      <c r="BI40" s="40">
        <v>0</v>
      </c>
      <c r="BJ40" s="87">
        <v>0</v>
      </c>
      <c r="BK40" s="40">
        <f t="shared" si="0"/>
        <v>2426875</v>
      </c>
      <c r="BL40" s="40">
        <f t="shared" si="10"/>
        <v>2426875</v>
      </c>
      <c r="BN40" s="85">
        <v>48928</v>
      </c>
      <c r="BO40" s="40">
        <v>0</v>
      </c>
      <c r="BP40" s="87">
        <v>0</v>
      </c>
      <c r="BQ40" s="40">
        <v>6345062.5</v>
      </c>
      <c r="BR40" s="40">
        <v>0</v>
      </c>
      <c r="BS40" s="40">
        <f t="shared" si="1"/>
        <v>6345062.5</v>
      </c>
      <c r="BT40" s="67"/>
      <c r="BU40" s="85">
        <v>48928</v>
      </c>
      <c r="BW40" s="87"/>
      <c r="BZ40" s="67"/>
      <c r="CA40" s="85">
        <v>48928</v>
      </c>
      <c r="CB40" s="40">
        <v>0</v>
      </c>
      <c r="CC40" s="87">
        <v>0</v>
      </c>
      <c r="CD40" s="40">
        <v>18269725</v>
      </c>
      <c r="CE40" s="40">
        <v>0</v>
      </c>
      <c r="CF40" s="40">
        <f t="shared" si="11"/>
        <v>18269725</v>
      </c>
      <c r="CG40" s="67"/>
      <c r="CH40" s="85">
        <v>48928</v>
      </c>
      <c r="CI40" s="40"/>
      <c r="CJ40" s="87">
        <v>0</v>
      </c>
      <c r="CK40" s="40">
        <v>4176700</v>
      </c>
      <c r="CL40" s="40">
        <f t="shared" si="12"/>
        <v>4176700</v>
      </c>
      <c r="CM40" s="67"/>
      <c r="CN40" s="85">
        <v>48928</v>
      </c>
      <c r="CO40" s="40">
        <v>4137775.05</v>
      </c>
      <c r="CP40" s="87"/>
      <c r="CQ40" s="40">
        <v>0</v>
      </c>
      <c r="CR40" s="40">
        <v>157557224.94999999</v>
      </c>
      <c r="CS40" s="40">
        <f t="shared" si="13"/>
        <v>161695000</v>
      </c>
      <c r="CT40" s="40"/>
      <c r="CU40" s="85">
        <v>48928</v>
      </c>
      <c r="CW40" s="87"/>
      <c r="CZ40" s="40">
        <f t="shared" si="3"/>
        <v>0</v>
      </c>
      <c r="DA40" s="85"/>
      <c r="DB40" s="85">
        <v>48928</v>
      </c>
      <c r="DH40" s="85">
        <v>48928</v>
      </c>
      <c r="DL40" s="40">
        <f t="shared" si="14"/>
        <v>0</v>
      </c>
      <c r="DN40" s="85">
        <v>48928</v>
      </c>
      <c r="DR40" s="40">
        <f t="shared" si="15"/>
        <v>0</v>
      </c>
      <c r="DT40" s="85">
        <v>48928</v>
      </c>
      <c r="DY40" s="40">
        <f t="shared" si="16"/>
        <v>0</v>
      </c>
      <c r="EA40" s="85">
        <v>48928</v>
      </c>
      <c r="EF40" s="40">
        <f t="shared" si="17"/>
        <v>0</v>
      </c>
      <c r="EH40" s="85">
        <v>48928</v>
      </c>
      <c r="EM40" s="40">
        <f t="shared" si="18"/>
        <v>0</v>
      </c>
      <c r="EO40" s="85">
        <v>48928</v>
      </c>
      <c r="ET40" s="40">
        <f t="shared" si="19"/>
        <v>0</v>
      </c>
    </row>
    <row r="41" spans="1:150" x14ac:dyDescent="0.4">
      <c r="A41" s="118">
        <f t="shared" si="26"/>
        <v>54224</v>
      </c>
      <c r="B41" s="85">
        <v>54239</v>
      </c>
      <c r="C41" s="86">
        <f t="shared" si="4"/>
        <v>347243071.25</v>
      </c>
      <c r="D41" s="40">
        <f t="shared" si="5"/>
        <v>0</v>
      </c>
      <c r="F41" s="85">
        <v>49125</v>
      </c>
      <c r="G41" s="85"/>
      <c r="H41" s="85">
        <v>49110</v>
      </c>
      <c r="I41" s="40">
        <f>SUM(Y40:Y41,AG40:AG41,AO40:AO41,AV40:AV41,BC40:BC41,BI40:BI41,BO40:BO41,BV40:BV41,CB40:CB41,CI40:CI41,CO40:CO41,CV40:CV41,DC40:DC41,DI40:DI41,DO40:DO41,DU40:DU41,EB40:EB41,EI40:EI41,EP40:EP41)</f>
        <v>12714622.249999998</v>
      </c>
      <c r="J41" s="40">
        <f>SUM(AA40:AA41,AI40:AI41,AQ40:AQ41,AX40:AX41,BE40:BE41,BK40:BK41,BQ40:BQ41,BX40:BX41,CD40:CD41,CK40:CK41,CQ40:CQ41,CX40:CX41,DE40:DE41,DK40:DK41,DQ40:DQ41,DW40:DW41,ED40:ED41,EK40:EK41,ER40:ER41)</f>
        <v>85786040</v>
      </c>
      <c r="K41" s="40">
        <f>SUM(AB40:AB41,AJ40:AJ41,AR40:AR41,AY40:AY41,BR40:BR41,CE40:CE41,CR40:CR41,CY40:CY41,DX40:DX41,EE40:EE41,EL40:EL41,ES40:ES41)</f>
        <v>251445377.75</v>
      </c>
      <c r="L41" s="40">
        <f>SUM(AC40:AC41,AK40:AK41)</f>
        <v>0</v>
      </c>
      <c r="M41" s="40">
        <f>SUM(I41:L41)</f>
        <v>349946040</v>
      </c>
      <c r="O41" s="85">
        <v>49125</v>
      </c>
      <c r="P41" s="85"/>
      <c r="Q41" s="85">
        <v>49110</v>
      </c>
      <c r="R41" s="40">
        <f t="shared" si="20"/>
        <v>3752905.3</v>
      </c>
      <c r="S41" s="40">
        <f t="shared" si="21"/>
        <v>42828451.25</v>
      </c>
      <c r="T41" s="40">
        <f t="shared" si="22"/>
        <v>93722094.700000003</v>
      </c>
      <c r="U41" s="40">
        <f t="shared" si="23"/>
        <v>0</v>
      </c>
      <c r="V41" s="40">
        <f t="shared" si="24"/>
        <v>140303451.25</v>
      </c>
      <c r="X41" s="85">
        <v>49110</v>
      </c>
      <c r="Y41" s="40">
        <v>862948.7</v>
      </c>
      <c r="Z41" s="101">
        <v>6.5000000000000002E-2</v>
      </c>
      <c r="AA41" s="40">
        <f t="shared" si="25"/>
        <v>449962.5</v>
      </c>
      <c r="AB41" s="40">
        <f>1205000-Y41</f>
        <v>342051.30000000005</v>
      </c>
      <c r="AC41" s="40"/>
      <c r="AD41" s="40">
        <f t="shared" si="27"/>
        <v>1654962.5</v>
      </c>
      <c r="AF41" s="85">
        <v>49110</v>
      </c>
      <c r="AG41" s="40">
        <v>0</v>
      </c>
      <c r="AH41" s="101"/>
      <c r="AI41" s="40">
        <v>4750125</v>
      </c>
      <c r="AJ41" s="40">
        <v>0</v>
      </c>
      <c r="AK41" s="40"/>
      <c r="AL41" s="40">
        <f t="shared" si="6"/>
        <v>4750125</v>
      </c>
      <c r="AN41" s="85">
        <v>49110</v>
      </c>
      <c r="AO41" s="40">
        <v>0</v>
      </c>
      <c r="AQ41" s="40">
        <v>1499751.25</v>
      </c>
      <c r="AR41" s="40">
        <v>0</v>
      </c>
      <c r="AS41" s="40">
        <f t="shared" si="7"/>
        <v>1499751.25</v>
      </c>
      <c r="AU41" s="85">
        <v>49110</v>
      </c>
      <c r="AV41" s="40">
        <v>0</v>
      </c>
      <c r="AW41" s="40"/>
      <c r="AX41" s="40">
        <v>3425625</v>
      </c>
      <c r="AY41" s="40">
        <v>0</v>
      </c>
      <c r="AZ41" s="40">
        <f t="shared" si="8"/>
        <v>3425625</v>
      </c>
      <c r="BB41" s="85">
        <v>49110</v>
      </c>
      <c r="BC41" s="40">
        <v>580000</v>
      </c>
      <c r="BD41" s="101">
        <v>0.05</v>
      </c>
      <c r="BE41" s="40">
        <v>1484625</v>
      </c>
      <c r="BF41" s="40">
        <f t="shared" si="9"/>
        <v>2064625</v>
      </c>
      <c r="BH41" s="85">
        <v>49110</v>
      </c>
      <c r="BI41" s="40">
        <v>0</v>
      </c>
      <c r="BJ41" s="87">
        <v>0</v>
      </c>
      <c r="BK41" s="40">
        <f t="shared" si="0"/>
        <v>2426875</v>
      </c>
      <c r="BL41" s="40">
        <f t="shared" si="10"/>
        <v>2426875</v>
      </c>
      <c r="BN41" s="85">
        <v>49110</v>
      </c>
      <c r="BO41" s="40">
        <v>0</v>
      </c>
      <c r="BP41" s="87">
        <v>0</v>
      </c>
      <c r="BQ41" s="40">
        <v>6345062.5</v>
      </c>
      <c r="BR41" s="40">
        <v>0</v>
      </c>
      <c r="BS41" s="40">
        <f t="shared" si="1"/>
        <v>6345062.5</v>
      </c>
      <c r="BT41" s="67"/>
      <c r="BU41" s="85">
        <v>49110</v>
      </c>
      <c r="BW41" s="87"/>
      <c r="BZ41" s="67"/>
      <c r="CA41" s="85">
        <v>49110</v>
      </c>
      <c r="CB41" s="40">
        <v>0</v>
      </c>
      <c r="CC41" s="87">
        <v>0</v>
      </c>
      <c r="CD41" s="40">
        <v>18269725</v>
      </c>
      <c r="CE41" s="40">
        <v>0</v>
      </c>
      <c r="CF41" s="40">
        <f t="shared" si="11"/>
        <v>18269725</v>
      </c>
      <c r="CG41" s="67"/>
      <c r="CH41" s="85">
        <v>49110</v>
      </c>
      <c r="CI41" s="40"/>
      <c r="CJ41" s="87">
        <v>0</v>
      </c>
      <c r="CK41" s="40">
        <v>4176700</v>
      </c>
      <c r="CL41" s="40">
        <f t="shared" si="12"/>
        <v>4176700</v>
      </c>
      <c r="CM41" s="67"/>
      <c r="CN41" s="85">
        <v>49110</v>
      </c>
      <c r="CO41" s="40">
        <v>2309956.6</v>
      </c>
      <c r="CP41" s="87"/>
      <c r="CQ41" s="40">
        <v>0</v>
      </c>
      <c r="CR41" s="40">
        <v>93380043.400000006</v>
      </c>
      <c r="CS41" s="40">
        <f t="shared" si="13"/>
        <v>95690000</v>
      </c>
      <c r="CT41" s="40"/>
      <c r="CU41" s="85">
        <v>49110</v>
      </c>
      <c r="CW41" s="87"/>
      <c r="CZ41" s="40">
        <f t="shared" si="3"/>
        <v>0</v>
      </c>
      <c r="DA41" s="85"/>
      <c r="DB41" s="85">
        <v>49110</v>
      </c>
      <c r="DH41" s="85">
        <v>49110</v>
      </c>
      <c r="DL41" s="40">
        <f t="shared" si="14"/>
        <v>0</v>
      </c>
      <c r="DN41" s="85">
        <v>49110</v>
      </c>
      <c r="DR41" s="40">
        <f t="shared" si="15"/>
        <v>0</v>
      </c>
      <c r="DT41" s="85">
        <v>49110</v>
      </c>
      <c r="DY41" s="40">
        <f t="shared" si="16"/>
        <v>0</v>
      </c>
      <c r="EA41" s="85">
        <v>49110</v>
      </c>
      <c r="EF41" s="40">
        <f t="shared" si="17"/>
        <v>0</v>
      </c>
      <c r="EH41" s="85">
        <v>49110</v>
      </c>
      <c r="EM41" s="40">
        <f t="shared" si="18"/>
        <v>0</v>
      </c>
      <c r="EO41" s="85">
        <v>49110</v>
      </c>
      <c r="ET41" s="40">
        <f t="shared" si="19"/>
        <v>0</v>
      </c>
    </row>
    <row r="42" spans="1:150" x14ac:dyDescent="0.4">
      <c r="A42" s="118">
        <f t="shared" si="26"/>
        <v>54589</v>
      </c>
      <c r="B42" s="85">
        <v>54604</v>
      </c>
      <c r="C42" s="86">
        <f t="shared" si="4"/>
        <v>347238658.05000001</v>
      </c>
      <c r="D42" s="40">
        <f t="shared" si="5"/>
        <v>0</v>
      </c>
      <c r="F42" s="85">
        <v>49309</v>
      </c>
      <c r="G42" s="85"/>
      <c r="H42" s="85">
        <v>49293</v>
      </c>
      <c r="I42" s="40"/>
      <c r="O42" s="85">
        <v>49309</v>
      </c>
      <c r="P42" s="85"/>
      <c r="Q42" s="85">
        <v>49293</v>
      </c>
      <c r="R42" s="40">
        <f t="shared" si="20"/>
        <v>8688510.75</v>
      </c>
      <c r="S42" s="40">
        <f t="shared" si="21"/>
        <v>42774788.75</v>
      </c>
      <c r="T42" s="40">
        <f t="shared" si="22"/>
        <v>158166489.25</v>
      </c>
      <c r="U42" s="40">
        <f t="shared" si="23"/>
        <v>0</v>
      </c>
      <c r="V42" s="40">
        <f t="shared" si="24"/>
        <v>209629788.75</v>
      </c>
      <c r="X42" s="85">
        <v>49293</v>
      </c>
      <c r="Y42" s="40">
        <v>386715.6</v>
      </c>
      <c r="Z42" s="101">
        <v>6.5000000000000002E-2</v>
      </c>
      <c r="AA42" s="40">
        <f t="shared" si="25"/>
        <v>410800</v>
      </c>
      <c r="AB42" s="40">
        <f>540000-Y42</f>
        <v>153284.40000000002</v>
      </c>
      <c r="AC42" s="40"/>
      <c r="AD42" s="40">
        <f t="shared" si="27"/>
        <v>950800</v>
      </c>
      <c r="AF42" s="85">
        <v>49293</v>
      </c>
      <c r="AG42" s="40">
        <v>0</v>
      </c>
      <c r="AH42" s="101"/>
      <c r="AI42" s="40">
        <v>4750125</v>
      </c>
      <c r="AJ42" s="40">
        <v>0</v>
      </c>
      <c r="AK42" s="40"/>
      <c r="AL42" s="40">
        <f t="shared" si="6"/>
        <v>4750125</v>
      </c>
      <c r="AN42" s="85">
        <v>49293</v>
      </c>
      <c r="AO42" s="40">
        <v>3160000</v>
      </c>
      <c r="AP42" s="101">
        <v>0.05</v>
      </c>
      <c r="AQ42" s="40">
        <v>1499751.25</v>
      </c>
      <c r="AR42" s="40">
        <v>0</v>
      </c>
      <c r="AS42" s="40">
        <f t="shared" si="7"/>
        <v>4659751.25</v>
      </c>
      <c r="AU42" s="85">
        <v>49293</v>
      </c>
      <c r="AV42" s="40">
        <v>0</v>
      </c>
      <c r="AW42" s="40"/>
      <c r="AX42" s="40">
        <v>3425625</v>
      </c>
      <c r="AY42" s="40">
        <v>0</v>
      </c>
      <c r="AZ42" s="40">
        <f t="shared" si="8"/>
        <v>3425625</v>
      </c>
      <c r="BB42" s="85">
        <v>49293</v>
      </c>
      <c r="BC42" s="40">
        <v>1460000</v>
      </c>
      <c r="BD42" s="101">
        <v>0.05</v>
      </c>
      <c r="BE42" s="40">
        <v>1470125</v>
      </c>
      <c r="BF42" s="40">
        <f t="shared" si="9"/>
        <v>2930125</v>
      </c>
      <c r="BH42" s="85">
        <v>49293</v>
      </c>
      <c r="BI42" s="40">
        <v>0</v>
      </c>
      <c r="BJ42" s="87">
        <v>0</v>
      </c>
      <c r="BK42" s="40">
        <f t="shared" si="0"/>
        <v>2426875</v>
      </c>
      <c r="BL42" s="40">
        <f t="shared" si="10"/>
        <v>2426875</v>
      </c>
      <c r="BN42" s="85">
        <v>49293</v>
      </c>
      <c r="BO42" s="40">
        <v>0</v>
      </c>
      <c r="BP42" s="87">
        <v>0</v>
      </c>
      <c r="BQ42" s="40">
        <v>6345062.5</v>
      </c>
      <c r="BR42" s="40">
        <v>0</v>
      </c>
      <c r="BS42" s="40">
        <f t="shared" si="1"/>
        <v>6345062.5</v>
      </c>
      <c r="BT42" s="67"/>
      <c r="BU42" s="85">
        <v>49293</v>
      </c>
      <c r="BW42" s="87"/>
      <c r="BZ42" s="67"/>
      <c r="CA42" s="85">
        <v>49293</v>
      </c>
      <c r="CB42" s="40">
        <v>0</v>
      </c>
      <c r="CC42" s="87">
        <v>0</v>
      </c>
      <c r="CD42" s="40">
        <v>18269725</v>
      </c>
      <c r="CE42" s="40">
        <v>0</v>
      </c>
      <c r="CF42" s="40">
        <f t="shared" si="11"/>
        <v>18269725</v>
      </c>
      <c r="CG42" s="67"/>
      <c r="CH42" s="85">
        <v>49293</v>
      </c>
      <c r="CI42" s="40"/>
      <c r="CJ42" s="87">
        <v>0</v>
      </c>
      <c r="CK42" s="40">
        <v>4176700</v>
      </c>
      <c r="CL42" s="40">
        <f t="shared" si="12"/>
        <v>4176700</v>
      </c>
      <c r="CM42" s="67"/>
      <c r="CN42" s="85">
        <v>49293</v>
      </c>
      <c r="CO42" s="40">
        <v>3681795.15</v>
      </c>
      <c r="CP42" s="87"/>
      <c r="CQ42" s="40">
        <v>0</v>
      </c>
      <c r="CR42" s="40">
        <v>158013204.84999999</v>
      </c>
      <c r="CS42" s="40">
        <f t="shared" si="13"/>
        <v>161695000</v>
      </c>
      <c r="CT42" s="40"/>
      <c r="CU42" s="85">
        <v>49293</v>
      </c>
      <c r="CW42" s="87"/>
      <c r="CZ42" s="40">
        <f t="shared" si="3"/>
        <v>0</v>
      </c>
      <c r="DA42" s="85"/>
      <c r="DB42" s="85">
        <v>49293</v>
      </c>
      <c r="DH42" s="85">
        <v>49293</v>
      </c>
      <c r="DL42" s="40">
        <f t="shared" si="14"/>
        <v>0</v>
      </c>
      <c r="DN42" s="85">
        <v>49293</v>
      </c>
      <c r="DR42" s="40">
        <f t="shared" si="15"/>
        <v>0</v>
      </c>
      <c r="DT42" s="85">
        <v>49293</v>
      </c>
      <c r="DY42" s="40">
        <f t="shared" si="16"/>
        <v>0</v>
      </c>
      <c r="EA42" s="85">
        <v>49293</v>
      </c>
      <c r="EF42" s="40">
        <f t="shared" si="17"/>
        <v>0</v>
      </c>
      <c r="EH42" s="85">
        <v>49293</v>
      </c>
      <c r="EM42" s="40">
        <f t="shared" si="18"/>
        <v>0</v>
      </c>
      <c r="EO42" s="85">
        <v>49293</v>
      </c>
      <c r="ET42" s="40">
        <f t="shared" si="19"/>
        <v>0</v>
      </c>
    </row>
    <row r="43" spans="1:150" x14ac:dyDescent="0.4">
      <c r="A43" s="118">
        <f t="shared" si="26"/>
        <v>54954</v>
      </c>
      <c r="B43" s="85">
        <v>54969</v>
      </c>
      <c r="C43" s="86">
        <f t="shared" si="4"/>
        <v>347236030.10000002</v>
      </c>
      <c r="D43" s="40">
        <f t="shared" si="5"/>
        <v>0</v>
      </c>
      <c r="F43" s="85">
        <v>49490</v>
      </c>
      <c r="G43" s="85"/>
      <c r="H43" s="85">
        <v>49475</v>
      </c>
      <c r="I43" s="40">
        <f>SUM(Y42:Y43,AG42:AG43,AO42:AO43,AV42:AV43,BC42:BC43,BI42:BI43,BO42:BO43,BV42:BV43,CB42:CB43,CI42:CI43,CO42:CO43,CV42:CV43,DC42:DC43,DI42:DI43,DO42:DO43,DU42:DU43,EB42:EB43,EI42:EI43,EP42:EP43)</f>
        <v>12344301.649999999</v>
      </c>
      <c r="J43" s="40">
        <f>SUM(AA42:AA43,AI42:AI43,AQ42:AQ43,AX42:AX43,BE42:BE43,BK42:BK43,BQ42:BQ43,BX42:BX43,CD42:CD43,CK42:CK43,CQ42:CQ43,CX42:CX43,DE42:DE43,DK42:DK43,DQ42:DQ43,DW42:DW43,ED42:ED43,EK42:EK43,ER42:ER43)</f>
        <v>85416527.5</v>
      </c>
      <c r="K43" s="40">
        <f>SUM(AB42:AB43,AJ42:AJ43,AR42:AR43,AY42:AY43,BR42:BR43,CE42:CE43,CR42:CR43,CY42:CY43,DX42:DX43,EE42:EE43,EL42:EL43,ES42:ES43)</f>
        <v>252185698.34999996</v>
      </c>
      <c r="L43" s="40">
        <f>SUM(AC42:AC43,AK42:AK43)</f>
        <v>0</v>
      </c>
      <c r="M43" s="40">
        <f>SUM(I43:L43)</f>
        <v>349946527.5</v>
      </c>
      <c r="O43" s="85">
        <v>49490</v>
      </c>
      <c r="P43" s="85"/>
      <c r="Q43" s="85">
        <v>49475</v>
      </c>
      <c r="R43" s="40">
        <f t="shared" si="20"/>
        <v>3655790.9</v>
      </c>
      <c r="S43" s="40">
        <f t="shared" si="21"/>
        <v>42641738.75</v>
      </c>
      <c r="T43" s="40">
        <f t="shared" si="22"/>
        <v>94019209.099999994</v>
      </c>
      <c r="U43" s="40">
        <f t="shared" si="23"/>
        <v>0</v>
      </c>
      <c r="V43" s="40">
        <f t="shared" si="24"/>
        <v>140316738.75</v>
      </c>
      <c r="X43" s="85">
        <v>49475</v>
      </c>
      <c r="Y43" s="40">
        <v>970369.7</v>
      </c>
      <c r="Z43" s="101">
        <v>6.5000000000000002E-2</v>
      </c>
      <c r="AA43" s="40">
        <f t="shared" si="25"/>
        <v>393250</v>
      </c>
      <c r="AB43" s="40">
        <f>1355000-Y43</f>
        <v>384630.30000000005</v>
      </c>
      <c r="AC43" s="40"/>
      <c r="AD43" s="40">
        <f t="shared" si="27"/>
        <v>1748250</v>
      </c>
      <c r="AF43" s="85">
        <v>49475</v>
      </c>
      <c r="AG43" s="40">
        <v>0</v>
      </c>
      <c r="AH43" s="101"/>
      <c r="AI43" s="40">
        <v>4750125</v>
      </c>
      <c r="AJ43" s="40">
        <v>0</v>
      </c>
      <c r="AK43" s="40"/>
      <c r="AL43" s="40">
        <f t="shared" si="6"/>
        <v>4750125</v>
      </c>
      <c r="AN43" s="85">
        <v>49475</v>
      </c>
      <c r="AO43" s="40">
        <v>0</v>
      </c>
      <c r="AQ43" s="40">
        <v>1420751.25</v>
      </c>
      <c r="AR43" s="40">
        <v>0</v>
      </c>
      <c r="AS43" s="40">
        <f t="shared" si="7"/>
        <v>1420751.25</v>
      </c>
      <c r="AU43" s="85">
        <v>49475</v>
      </c>
      <c r="AV43" s="40">
        <v>0</v>
      </c>
      <c r="AW43" s="40"/>
      <c r="AX43" s="40">
        <v>3425625</v>
      </c>
      <c r="AY43" s="40">
        <v>0</v>
      </c>
      <c r="AZ43" s="40">
        <f t="shared" si="8"/>
        <v>3425625</v>
      </c>
      <c r="BB43" s="85">
        <v>49475</v>
      </c>
      <c r="BC43" s="40">
        <v>630000</v>
      </c>
      <c r="BD43" s="101">
        <v>0.05</v>
      </c>
      <c r="BE43" s="40">
        <v>1433625</v>
      </c>
      <c r="BF43" s="40">
        <f t="shared" si="9"/>
        <v>2063625</v>
      </c>
      <c r="BH43" s="85">
        <v>49475</v>
      </c>
      <c r="BI43" s="40">
        <v>0</v>
      </c>
      <c r="BJ43" s="87">
        <v>0</v>
      </c>
      <c r="BK43" s="40">
        <f t="shared" si="0"/>
        <v>2426875</v>
      </c>
      <c r="BL43" s="40">
        <f t="shared" si="10"/>
        <v>2426875</v>
      </c>
      <c r="BN43" s="85">
        <v>49475</v>
      </c>
      <c r="BO43" s="40">
        <v>0</v>
      </c>
      <c r="BP43" s="87">
        <v>0</v>
      </c>
      <c r="BQ43" s="40">
        <v>6345062.5</v>
      </c>
      <c r="BR43" s="40">
        <v>0</v>
      </c>
      <c r="BS43" s="40">
        <f t="shared" si="1"/>
        <v>6345062.5</v>
      </c>
      <c r="BT43" s="67"/>
      <c r="BU43" s="85">
        <v>49475</v>
      </c>
      <c r="BW43" s="87"/>
      <c r="BZ43" s="67"/>
      <c r="CA43" s="85">
        <v>49475</v>
      </c>
      <c r="CB43" s="40">
        <v>0</v>
      </c>
      <c r="CC43" s="87">
        <v>0</v>
      </c>
      <c r="CD43" s="40">
        <v>18269725</v>
      </c>
      <c r="CE43" s="40">
        <v>0</v>
      </c>
      <c r="CF43" s="40">
        <f t="shared" si="11"/>
        <v>18269725</v>
      </c>
      <c r="CG43" s="67"/>
      <c r="CH43" s="85">
        <v>49475</v>
      </c>
      <c r="CI43" s="40"/>
      <c r="CJ43" s="87">
        <v>0</v>
      </c>
      <c r="CK43" s="40">
        <v>4176700</v>
      </c>
      <c r="CL43" s="40">
        <f t="shared" si="12"/>
        <v>4176700</v>
      </c>
      <c r="CM43" s="67"/>
      <c r="CN43" s="85">
        <v>49475</v>
      </c>
      <c r="CO43" s="40">
        <v>2055421.2</v>
      </c>
      <c r="CP43" s="87"/>
      <c r="CQ43" s="40">
        <v>0</v>
      </c>
      <c r="CR43" s="40">
        <v>93634578.799999997</v>
      </c>
      <c r="CS43" s="40">
        <f t="shared" si="13"/>
        <v>95690000</v>
      </c>
      <c r="CT43" s="40"/>
      <c r="CU43" s="85">
        <v>49475</v>
      </c>
      <c r="CW43" s="87"/>
      <c r="CZ43" s="40">
        <f t="shared" si="3"/>
        <v>0</v>
      </c>
      <c r="DA43" s="85"/>
      <c r="DB43" s="85">
        <v>49475</v>
      </c>
      <c r="DH43" s="85">
        <v>49475</v>
      </c>
      <c r="DL43" s="40">
        <f t="shared" si="14"/>
        <v>0</v>
      </c>
      <c r="DN43" s="85">
        <v>49475</v>
      </c>
      <c r="DR43" s="40">
        <f t="shared" si="15"/>
        <v>0</v>
      </c>
      <c r="DT43" s="85">
        <v>49475</v>
      </c>
      <c r="DY43" s="40">
        <f t="shared" si="16"/>
        <v>0</v>
      </c>
      <c r="EA43" s="85">
        <v>49475</v>
      </c>
      <c r="EF43" s="40">
        <f t="shared" si="17"/>
        <v>0</v>
      </c>
      <c r="EH43" s="85">
        <v>49475</v>
      </c>
      <c r="EM43" s="40">
        <f t="shared" si="18"/>
        <v>0</v>
      </c>
      <c r="EO43" s="85">
        <v>49475</v>
      </c>
      <c r="ET43" s="40">
        <f t="shared" si="19"/>
        <v>0</v>
      </c>
    </row>
    <row r="44" spans="1:150" x14ac:dyDescent="0.4">
      <c r="A44" s="118">
        <f t="shared" si="26"/>
        <v>55319</v>
      </c>
      <c r="B44" s="85">
        <v>55334</v>
      </c>
      <c r="C44" s="86">
        <f t="shared" si="4"/>
        <v>347243146.5</v>
      </c>
      <c r="D44" s="40">
        <f t="shared" si="5"/>
        <v>0</v>
      </c>
      <c r="F44" s="85">
        <v>49674</v>
      </c>
      <c r="G44" s="85"/>
      <c r="H44" s="85">
        <v>49658</v>
      </c>
      <c r="I44" s="40"/>
      <c r="O44" s="85">
        <v>49674</v>
      </c>
      <c r="P44" s="85"/>
      <c r="Q44" s="85">
        <v>49658</v>
      </c>
      <c r="R44" s="40">
        <f t="shared" si="20"/>
        <v>6920940.4499999993</v>
      </c>
      <c r="S44" s="40">
        <f t="shared" si="21"/>
        <v>42581951.25</v>
      </c>
      <c r="T44" s="40">
        <f t="shared" si="22"/>
        <v>160104059.54999998</v>
      </c>
      <c r="U44" s="40">
        <f t="shared" si="23"/>
        <v>0</v>
      </c>
      <c r="V44" s="40">
        <f t="shared" si="24"/>
        <v>209606951.25</v>
      </c>
      <c r="X44" s="85">
        <v>49658</v>
      </c>
      <c r="Y44" s="40">
        <v>365231.4</v>
      </c>
      <c r="Z44" s="101">
        <v>6.5000000000000002E-2</v>
      </c>
      <c r="AA44" s="40">
        <f t="shared" si="25"/>
        <v>349212.5</v>
      </c>
      <c r="AB44" s="40">
        <f>510000-Y44</f>
        <v>144768.59999999998</v>
      </c>
      <c r="AC44" s="40"/>
      <c r="AD44" s="40">
        <f t="shared" si="27"/>
        <v>859212.5</v>
      </c>
      <c r="AF44" s="85">
        <v>49658</v>
      </c>
      <c r="AG44" s="40">
        <v>0</v>
      </c>
      <c r="AH44" s="101"/>
      <c r="AI44" s="40">
        <v>4750125</v>
      </c>
      <c r="AJ44" s="40">
        <v>0</v>
      </c>
      <c r="AK44" s="40"/>
      <c r="AL44" s="40">
        <f t="shared" si="6"/>
        <v>4750125</v>
      </c>
      <c r="AN44" s="85">
        <v>49658</v>
      </c>
      <c r="AO44" s="40">
        <v>1763151.4</v>
      </c>
      <c r="AP44" s="101">
        <v>4.7E-2</v>
      </c>
      <c r="AQ44" s="40">
        <v>1420751.25</v>
      </c>
      <c r="AR44" s="40">
        <v>1541848.6</v>
      </c>
      <c r="AS44" s="40">
        <f t="shared" si="7"/>
        <v>4725751.25</v>
      </c>
      <c r="AU44" s="85">
        <v>49658</v>
      </c>
      <c r="AV44" s="40">
        <v>0</v>
      </c>
      <c r="AW44" s="40"/>
      <c r="AX44" s="40">
        <v>3425625</v>
      </c>
      <c r="AY44" s="40">
        <v>0</v>
      </c>
      <c r="AZ44" s="40">
        <f t="shared" si="8"/>
        <v>3425625</v>
      </c>
      <c r="BB44" s="85">
        <v>49658</v>
      </c>
      <c r="BC44" s="40">
        <v>1515000</v>
      </c>
      <c r="BD44" s="101">
        <v>0.05</v>
      </c>
      <c r="BE44" s="40">
        <v>1417875</v>
      </c>
      <c r="BF44" s="40">
        <f t="shared" si="9"/>
        <v>2932875</v>
      </c>
      <c r="BH44" s="85">
        <v>49658</v>
      </c>
      <c r="BI44" s="40">
        <v>0</v>
      </c>
      <c r="BJ44" s="87">
        <v>0</v>
      </c>
      <c r="BK44" s="40">
        <f t="shared" si="0"/>
        <v>2426875</v>
      </c>
      <c r="BL44" s="40">
        <f t="shared" si="10"/>
        <v>2426875</v>
      </c>
      <c r="BN44" s="85">
        <v>49658</v>
      </c>
      <c r="BO44" s="40">
        <v>0</v>
      </c>
      <c r="BP44" s="87">
        <v>0</v>
      </c>
      <c r="BQ44" s="40">
        <v>6345062.5</v>
      </c>
      <c r="BR44" s="40">
        <v>0</v>
      </c>
      <c r="BS44" s="40">
        <f t="shared" si="1"/>
        <v>6345062.5</v>
      </c>
      <c r="BT44" s="67"/>
      <c r="BU44" s="85">
        <v>49658</v>
      </c>
      <c r="BW44" s="87"/>
      <c r="BZ44" s="67"/>
      <c r="CA44" s="85">
        <v>49658</v>
      </c>
      <c r="CB44" s="40">
        <v>0</v>
      </c>
      <c r="CC44" s="87">
        <v>0</v>
      </c>
      <c r="CD44" s="40">
        <v>18269725</v>
      </c>
      <c r="CE44" s="40">
        <v>0</v>
      </c>
      <c r="CF44" s="40">
        <f t="shared" si="11"/>
        <v>18269725</v>
      </c>
      <c r="CG44" s="67"/>
      <c r="CH44" s="85">
        <v>49658</v>
      </c>
      <c r="CI44" s="40"/>
      <c r="CJ44" s="87">
        <v>0</v>
      </c>
      <c r="CK44" s="40">
        <v>4176700</v>
      </c>
      <c r="CL44" s="40">
        <f t="shared" si="12"/>
        <v>4176700</v>
      </c>
      <c r="CM44" s="67"/>
      <c r="CN44" s="85">
        <v>49658</v>
      </c>
      <c r="CO44" s="40">
        <v>3277557.65</v>
      </c>
      <c r="CP44" s="87"/>
      <c r="CQ44" s="40">
        <v>0</v>
      </c>
      <c r="CR44" s="40">
        <v>158417442.34999999</v>
      </c>
      <c r="CS44" s="40">
        <f t="shared" si="13"/>
        <v>161695000</v>
      </c>
      <c r="CT44" s="40"/>
      <c r="CU44" s="85">
        <v>49658</v>
      </c>
      <c r="CW44" s="87"/>
      <c r="CZ44" s="40">
        <f t="shared" si="3"/>
        <v>0</v>
      </c>
      <c r="DA44" s="85"/>
      <c r="DB44" s="85">
        <v>49658</v>
      </c>
      <c r="DH44" s="85">
        <v>49658</v>
      </c>
      <c r="DL44" s="40">
        <f t="shared" si="14"/>
        <v>0</v>
      </c>
      <c r="DN44" s="85">
        <v>49658</v>
      </c>
      <c r="DR44" s="40">
        <f t="shared" si="15"/>
        <v>0</v>
      </c>
      <c r="DT44" s="85">
        <v>49658</v>
      </c>
      <c r="DY44" s="40">
        <f t="shared" si="16"/>
        <v>0</v>
      </c>
      <c r="EA44" s="85">
        <v>49658</v>
      </c>
      <c r="EF44" s="40">
        <f t="shared" si="17"/>
        <v>0</v>
      </c>
      <c r="EH44" s="85">
        <v>49658</v>
      </c>
      <c r="EM44" s="40">
        <f t="shared" si="18"/>
        <v>0</v>
      </c>
      <c r="EO44" s="85">
        <v>49658</v>
      </c>
      <c r="ET44" s="40">
        <f t="shared" si="19"/>
        <v>0</v>
      </c>
    </row>
    <row r="45" spans="1:150" x14ac:dyDescent="0.4">
      <c r="A45" s="118">
        <f t="shared" si="26"/>
        <v>55685</v>
      </c>
      <c r="B45" s="85">
        <v>55700</v>
      </c>
      <c r="C45" s="86">
        <f t="shared" si="4"/>
        <v>347240614.5</v>
      </c>
      <c r="D45" s="40">
        <f t="shared" si="5"/>
        <v>0</v>
      </c>
      <c r="F45" s="85">
        <v>49856</v>
      </c>
      <c r="G45" s="85"/>
      <c r="H45" s="85">
        <v>49841</v>
      </c>
      <c r="I45" s="40">
        <f>SUM(Y44:Y45,AG44:AG45,AO44:AO45,AV44:AV45,BC44:BC45,BI44:BI45,BO44:BO45,BV44:BV45,CB44:CB45,CI44:CI45,CO44:CO45,CV44:CV45,DC44:DC45,DI44:DI45,DO44:DO45,DU44:DU45,EB44:EB45,EI44:EI45,EP44:EP45)</f>
        <v>10520485.350000001</v>
      </c>
      <c r="J45" s="40">
        <f>SUM(AA44:AA45,AI44:AI45,AQ44:AQ45,AX44:AX45,BE44:BE45,BK44:BK45,BQ44:BQ45,BX44:BX45,CD44:CD45,CK44:CK45,CQ44:CQ45,CX44:CX45,DE44:DE45,DK44:DK45,DQ44:DQ45,DW44:DW45,ED44:ED45,EK44:EK45,ER44:ER45)</f>
        <v>85031785</v>
      </c>
      <c r="K45" s="40">
        <f>SUM(AB44:AB45,AJ44:AJ45,AR44:AR45,AY44:AY45,BR44:BR45,CE44:CE45,CR44:CR45,CY44:CY45,DX44:DX45,EE44:EE45,EL44:EL45,ES44:ES45)</f>
        <v>254394514.64999998</v>
      </c>
      <c r="L45" s="40">
        <f>SUM(AC44:AC45,AK44:AK45)</f>
        <v>0</v>
      </c>
      <c r="M45" s="40">
        <f>SUM(I45:L45)</f>
        <v>349946785</v>
      </c>
      <c r="O45" s="85">
        <v>49856</v>
      </c>
      <c r="P45" s="85"/>
      <c r="Q45" s="85">
        <v>49841</v>
      </c>
      <c r="R45" s="40">
        <f t="shared" si="20"/>
        <v>3599544.9000000004</v>
      </c>
      <c r="S45" s="40">
        <f t="shared" si="21"/>
        <v>42449833.75</v>
      </c>
      <c r="T45" s="40">
        <f t="shared" si="22"/>
        <v>94290455.100000009</v>
      </c>
      <c r="U45" s="40">
        <f t="shared" si="23"/>
        <v>0</v>
      </c>
      <c r="V45" s="40">
        <f t="shared" si="24"/>
        <v>140339833.75</v>
      </c>
      <c r="X45" s="85">
        <v>49841</v>
      </c>
      <c r="Y45" s="40">
        <v>1084952.1000000001</v>
      </c>
      <c r="Z45" s="101">
        <v>6.5000000000000002E-2</v>
      </c>
      <c r="AA45" s="40">
        <f t="shared" si="25"/>
        <v>332637.5</v>
      </c>
      <c r="AB45" s="40">
        <f>1515000-Y45</f>
        <v>430047.89999999991</v>
      </c>
      <c r="AC45" s="40"/>
      <c r="AD45" s="40">
        <f t="shared" si="27"/>
        <v>1847637.5</v>
      </c>
      <c r="AF45" s="85">
        <v>49841</v>
      </c>
      <c r="AG45" s="40">
        <v>0</v>
      </c>
      <c r="AH45" s="101"/>
      <c r="AI45" s="40">
        <v>4750125</v>
      </c>
      <c r="AJ45" s="40">
        <v>0</v>
      </c>
      <c r="AK45" s="40"/>
      <c r="AL45" s="40">
        <f t="shared" si="6"/>
        <v>4750125</v>
      </c>
      <c r="AN45" s="85">
        <v>49841</v>
      </c>
      <c r="AO45" s="40">
        <v>0</v>
      </c>
      <c r="AQ45" s="40">
        <v>1343083.75</v>
      </c>
      <c r="AR45" s="40">
        <v>0</v>
      </c>
      <c r="AS45" s="40">
        <f t="shared" si="7"/>
        <v>1343083.75</v>
      </c>
      <c r="AU45" s="85">
        <v>49841</v>
      </c>
      <c r="AV45" s="40">
        <v>0</v>
      </c>
      <c r="AW45" s="40"/>
      <c r="AX45" s="40">
        <v>3425625</v>
      </c>
      <c r="AY45" s="40">
        <v>0</v>
      </c>
      <c r="AZ45" s="40">
        <f t="shared" si="8"/>
        <v>3425625</v>
      </c>
      <c r="BB45" s="85">
        <v>49841</v>
      </c>
      <c r="BC45" s="40">
        <v>685000</v>
      </c>
      <c r="BD45" s="101">
        <v>0.05</v>
      </c>
      <c r="BE45" s="40">
        <v>1380000</v>
      </c>
      <c r="BF45" s="40">
        <f t="shared" si="9"/>
        <v>2065000</v>
      </c>
      <c r="BH45" s="85">
        <v>49841</v>
      </c>
      <c r="BI45" s="40">
        <v>0</v>
      </c>
      <c r="BJ45" s="87">
        <v>0</v>
      </c>
      <c r="BK45" s="40">
        <f t="shared" si="0"/>
        <v>2426875</v>
      </c>
      <c r="BL45" s="40">
        <f t="shared" si="10"/>
        <v>2426875</v>
      </c>
      <c r="BN45" s="85">
        <v>49841</v>
      </c>
      <c r="BO45" s="40">
        <v>0</v>
      </c>
      <c r="BP45" s="87">
        <v>0</v>
      </c>
      <c r="BQ45" s="40">
        <v>6345062.5</v>
      </c>
      <c r="BR45" s="40">
        <v>0</v>
      </c>
      <c r="BS45" s="40">
        <f t="shared" si="1"/>
        <v>6345062.5</v>
      </c>
      <c r="BT45" s="67"/>
      <c r="BU45" s="85">
        <v>49841</v>
      </c>
      <c r="BW45" s="87"/>
      <c r="BZ45" s="67"/>
      <c r="CA45" s="85">
        <v>49841</v>
      </c>
      <c r="CB45" s="40">
        <v>0</v>
      </c>
      <c r="CC45" s="87">
        <v>0</v>
      </c>
      <c r="CD45" s="40">
        <v>18269725</v>
      </c>
      <c r="CE45" s="40">
        <v>0</v>
      </c>
      <c r="CF45" s="40">
        <f t="shared" si="11"/>
        <v>18269725</v>
      </c>
      <c r="CG45" s="67"/>
      <c r="CH45" s="85">
        <v>49841</v>
      </c>
      <c r="CI45" s="40"/>
      <c r="CJ45" s="87">
        <v>0</v>
      </c>
      <c r="CK45" s="40">
        <v>4176700</v>
      </c>
      <c r="CL45" s="40">
        <f t="shared" si="12"/>
        <v>4176700</v>
      </c>
      <c r="CM45" s="67"/>
      <c r="CN45" s="85">
        <v>49841</v>
      </c>
      <c r="CO45" s="40">
        <v>1829592.8</v>
      </c>
      <c r="CP45" s="87"/>
      <c r="CQ45" s="40">
        <v>0</v>
      </c>
      <c r="CR45" s="40">
        <v>93860407.200000003</v>
      </c>
      <c r="CS45" s="40">
        <f t="shared" si="13"/>
        <v>95690000</v>
      </c>
      <c r="CT45" s="40"/>
      <c r="CU45" s="85">
        <v>49841</v>
      </c>
      <c r="CW45" s="87"/>
      <c r="CZ45" s="40">
        <f t="shared" si="3"/>
        <v>0</v>
      </c>
      <c r="DA45" s="85"/>
      <c r="DB45" s="85">
        <v>49841</v>
      </c>
      <c r="DH45" s="85">
        <v>49841</v>
      </c>
      <c r="DL45" s="40">
        <f t="shared" si="14"/>
        <v>0</v>
      </c>
      <c r="DN45" s="85">
        <v>49841</v>
      </c>
      <c r="DR45" s="40">
        <f t="shared" si="15"/>
        <v>0</v>
      </c>
      <c r="DT45" s="85">
        <v>49841</v>
      </c>
      <c r="DY45" s="40">
        <f t="shared" si="16"/>
        <v>0</v>
      </c>
      <c r="EA45" s="85">
        <v>49841</v>
      </c>
      <c r="EF45" s="40">
        <f t="shared" si="17"/>
        <v>0</v>
      </c>
      <c r="EH45" s="85">
        <v>49841</v>
      </c>
      <c r="EM45" s="40">
        <f t="shared" si="18"/>
        <v>0</v>
      </c>
      <c r="EO45" s="85">
        <v>49841</v>
      </c>
      <c r="ET45" s="40">
        <f t="shared" si="19"/>
        <v>0</v>
      </c>
    </row>
    <row r="46" spans="1:150" x14ac:dyDescent="0.4">
      <c r="A46" s="118">
        <f t="shared" si="26"/>
        <v>56050</v>
      </c>
      <c r="B46" s="85">
        <v>56065</v>
      </c>
      <c r="C46" s="86">
        <f t="shared" si="4"/>
        <v>347240548.19999999</v>
      </c>
      <c r="D46" s="40">
        <f t="shared" si="5"/>
        <v>0</v>
      </c>
      <c r="F46" s="85">
        <v>50040</v>
      </c>
      <c r="G46" s="85"/>
      <c r="H46" s="85">
        <v>50024</v>
      </c>
      <c r="I46" s="40"/>
      <c r="O46" s="85">
        <v>50040</v>
      </c>
      <c r="P46" s="85"/>
      <c r="Q46" s="85">
        <v>50024</v>
      </c>
      <c r="R46" s="40">
        <f t="shared" si="20"/>
        <v>6968356.5999999996</v>
      </c>
      <c r="S46" s="40">
        <f t="shared" si="21"/>
        <v>42383471.25</v>
      </c>
      <c r="T46" s="40">
        <f t="shared" si="22"/>
        <v>160646643.39999998</v>
      </c>
      <c r="U46" s="40">
        <f t="shared" si="23"/>
        <v>0</v>
      </c>
      <c r="V46" s="40">
        <f t="shared" si="24"/>
        <v>209998471.24999997</v>
      </c>
      <c r="X46" s="85">
        <v>50024</v>
      </c>
      <c r="Y46" s="40">
        <v>630203.19999999995</v>
      </c>
      <c r="Z46" s="101">
        <v>6.5000000000000002E-2</v>
      </c>
      <c r="AA46" s="40">
        <f t="shared" si="25"/>
        <v>283400</v>
      </c>
      <c r="AB46" s="40">
        <f>880000-Y46</f>
        <v>249796.80000000005</v>
      </c>
      <c r="AC46" s="40"/>
      <c r="AD46" s="40">
        <f t="shared" si="27"/>
        <v>1163400</v>
      </c>
      <c r="AF46" s="85">
        <v>50024</v>
      </c>
      <c r="AG46" s="40">
        <v>0</v>
      </c>
      <c r="AH46" s="101"/>
      <c r="AI46" s="40">
        <v>4750125</v>
      </c>
      <c r="AJ46" s="40">
        <v>0</v>
      </c>
      <c r="AK46" s="40"/>
      <c r="AL46" s="40">
        <f t="shared" si="6"/>
        <v>4750125</v>
      </c>
      <c r="AN46" s="85">
        <v>50024</v>
      </c>
      <c r="AO46" s="40">
        <v>1851175.6</v>
      </c>
      <c r="AP46" s="101">
        <v>4.7E-2</v>
      </c>
      <c r="AQ46" s="40">
        <v>1343083.75</v>
      </c>
      <c r="AR46" s="40">
        <v>1618824.4</v>
      </c>
      <c r="AS46" s="40">
        <f t="shared" si="7"/>
        <v>4813083.75</v>
      </c>
      <c r="AU46" s="85">
        <v>50024</v>
      </c>
      <c r="AV46" s="40">
        <v>0</v>
      </c>
      <c r="AW46" s="40"/>
      <c r="AX46" s="40">
        <v>3425625</v>
      </c>
      <c r="AY46" s="40">
        <v>0</v>
      </c>
      <c r="AZ46" s="40">
        <f t="shared" si="8"/>
        <v>3425625</v>
      </c>
      <c r="BB46" s="85">
        <v>50024</v>
      </c>
      <c r="BC46" s="40">
        <v>1570000</v>
      </c>
      <c r="BD46" s="101">
        <v>0.05</v>
      </c>
      <c r="BE46" s="40">
        <v>1362875</v>
      </c>
      <c r="BF46" s="40">
        <f t="shared" si="9"/>
        <v>2932875</v>
      </c>
      <c r="BH46" s="85">
        <v>50024</v>
      </c>
      <c r="BI46" s="40">
        <v>0</v>
      </c>
      <c r="BJ46" s="87">
        <v>0</v>
      </c>
      <c r="BK46" s="40">
        <f t="shared" si="0"/>
        <v>2426875</v>
      </c>
      <c r="BL46" s="40">
        <f t="shared" si="10"/>
        <v>2426875</v>
      </c>
      <c r="BN46" s="85">
        <v>50024</v>
      </c>
      <c r="BO46" s="40">
        <v>0</v>
      </c>
      <c r="BP46" s="87">
        <v>0</v>
      </c>
      <c r="BQ46" s="40">
        <v>6345062.5</v>
      </c>
      <c r="BR46" s="40">
        <v>0</v>
      </c>
      <c r="BS46" s="40">
        <f t="shared" si="1"/>
        <v>6345062.5</v>
      </c>
      <c r="BT46" s="67"/>
      <c r="BU46" s="85">
        <v>50024</v>
      </c>
      <c r="BW46" s="87"/>
      <c r="BZ46" s="67"/>
      <c r="CA46" s="85">
        <v>50024</v>
      </c>
      <c r="CB46" s="40">
        <v>0</v>
      </c>
      <c r="CC46" s="87">
        <v>0</v>
      </c>
      <c r="CD46" s="40">
        <v>18269725</v>
      </c>
      <c r="CE46" s="40">
        <v>0</v>
      </c>
      <c r="CF46" s="40">
        <f t="shared" si="11"/>
        <v>18269725</v>
      </c>
      <c r="CG46" s="67"/>
      <c r="CH46" s="85">
        <v>50024</v>
      </c>
      <c r="CI46" s="40"/>
      <c r="CJ46" s="87">
        <v>0</v>
      </c>
      <c r="CK46" s="40">
        <v>4176700</v>
      </c>
      <c r="CL46" s="40">
        <f t="shared" si="12"/>
        <v>4176700</v>
      </c>
      <c r="CM46" s="67"/>
      <c r="CN46" s="85">
        <v>50024</v>
      </c>
      <c r="CO46" s="40">
        <v>2916977.8</v>
      </c>
      <c r="CP46" s="87"/>
      <c r="CQ46" s="40">
        <v>0</v>
      </c>
      <c r="CR46" s="40">
        <v>158778022.19999999</v>
      </c>
      <c r="CS46" s="40">
        <f t="shared" si="13"/>
        <v>161695000</v>
      </c>
      <c r="CT46" s="40"/>
      <c r="CU46" s="85">
        <v>50024</v>
      </c>
      <c r="CW46" s="87"/>
      <c r="CZ46" s="40">
        <f t="shared" si="3"/>
        <v>0</v>
      </c>
      <c r="DA46" s="85"/>
      <c r="DB46" s="85">
        <v>50024</v>
      </c>
      <c r="DH46" s="85">
        <v>50024</v>
      </c>
      <c r="DL46" s="40">
        <f t="shared" si="14"/>
        <v>0</v>
      </c>
      <c r="DN46" s="85">
        <v>50024</v>
      </c>
      <c r="DR46" s="40">
        <f t="shared" si="15"/>
        <v>0</v>
      </c>
      <c r="DT46" s="85">
        <v>50024</v>
      </c>
      <c r="DY46" s="40">
        <f t="shared" si="16"/>
        <v>0</v>
      </c>
      <c r="EA46" s="85">
        <v>50024</v>
      </c>
      <c r="EF46" s="40">
        <f t="shared" si="17"/>
        <v>0</v>
      </c>
      <c r="EH46" s="85">
        <v>50024</v>
      </c>
      <c r="EM46" s="40">
        <f t="shared" si="18"/>
        <v>0</v>
      </c>
      <c r="EO46" s="85">
        <v>50024</v>
      </c>
      <c r="ET46" s="40">
        <f t="shared" si="19"/>
        <v>0</v>
      </c>
    </row>
    <row r="47" spans="1:150" x14ac:dyDescent="0.4">
      <c r="A47" s="118">
        <f t="shared" si="26"/>
        <v>56415</v>
      </c>
      <c r="B47" s="85">
        <v>56430</v>
      </c>
      <c r="C47" s="86">
        <f t="shared" si="4"/>
        <v>347243507.14999998</v>
      </c>
      <c r="D47" s="40">
        <f t="shared" si="5"/>
        <v>0</v>
      </c>
      <c r="F47" s="85">
        <v>50221</v>
      </c>
      <c r="G47" s="85"/>
      <c r="H47" s="85">
        <v>50206</v>
      </c>
      <c r="I47" s="40">
        <f>SUM(Y46:Y47,AG46:AG47,AO46:AO47,AV46:AV47,BC46:BC47,BI46:BI47,BO46:BO47,BV46:BV47,CB46:CB47,CI46:CI47,CO46:CO47,CV46:CV47,DC46:DC47,DI46:DI47,DO46:DO47,DU46:DU47,EB46:EB47,EI46:EI47,EP46:EP47)</f>
        <v>10257240.300000001</v>
      </c>
      <c r="J47" s="40">
        <f>SUM(AA46:AA47,AI46:AI47,AQ46:AQ47,AX46:AX47,BE46:BE47,BK46:BK47,BQ46:BQ47,BX46:BX47,CD46:CD47,CK46:CK47,CQ46:CQ47,CX46:CX47,DE46:DE47,DK46:DK47,DQ46:DQ47,DW46:DW47,ED46:ED47,EK46:EK47,ER46:ER47)</f>
        <v>84617547.5</v>
      </c>
      <c r="K47" s="40">
        <f>SUM(AB46:AB47,AJ46:AJ47,AR46:AR47,AY46:AY47,BR46:BR47,CE46:CE47,CR46:CR47,CY46:CY47,DX46:DX47,EE46:EE47,EL46:EL47,ES46:ES47)</f>
        <v>255072759.69999999</v>
      </c>
      <c r="L47" s="40">
        <f>SUM(AC46:AC47,AK46:AK47)</f>
        <v>0</v>
      </c>
      <c r="M47" s="40">
        <f>SUM(I47:L47)</f>
        <v>349947547.5</v>
      </c>
      <c r="O47" s="85">
        <v>50221</v>
      </c>
      <c r="P47" s="85"/>
      <c r="Q47" s="85">
        <v>50206</v>
      </c>
      <c r="R47" s="40">
        <f t="shared" si="20"/>
        <v>3288883.7</v>
      </c>
      <c r="S47" s="40">
        <f t="shared" si="21"/>
        <v>42234076.25</v>
      </c>
      <c r="T47" s="40">
        <f t="shared" si="22"/>
        <v>94426116.299999997</v>
      </c>
      <c r="U47" s="40">
        <f t="shared" si="23"/>
        <v>0</v>
      </c>
      <c r="V47" s="40">
        <f t="shared" si="24"/>
        <v>139949076.25</v>
      </c>
      <c r="X47" s="85">
        <v>50206</v>
      </c>
      <c r="Y47" s="40">
        <v>920239.9</v>
      </c>
      <c r="Z47" s="101">
        <v>6.5000000000000002E-2</v>
      </c>
      <c r="AA47" s="40">
        <f t="shared" si="25"/>
        <v>254800</v>
      </c>
      <c r="AB47" s="40">
        <f>1285000-Y47</f>
        <v>364760.1</v>
      </c>
      <c r="AC47" s="40"/>
      <c r="AD47" s="40">
        <f t="shared" si="27"/>
        <v>1539800</v>
      </c>
      <c r="AF47" s="85">
        <v>50206</v>
      </c>
      <c r="AG47" s="40">
        <v>0</v>
      </c>
      <c r="AH47" s="101"/>
      <c r="AI47" s="40">
        <v>4750125</v>
      </c>
      <c r="AJ47" s="40">
        <v>0</v>
      </c>
      <c r="AK47" s="40"/>
      <c r="AL47" s="40">
        <f t="shared" si="6"/>
        <v>4750125</v>
      </c>
      <c r="AN47" s="85">
        <v>50206</v>
      </c>
      <c r="AO47" s="40">
        <v>0</v>
      </c>
      <c r="AQ47" s="40">
        <v>1261538.75</v>
      </c>
      <c r="AR47" s="40">
        <v>0</v>
      </c>
      <c r="AS47" s="40">
        <f t="shared" si="7"/>
        <v>1261538.75</v>
      </c>
      <c r="AU47" s="85">
        <v>50206</v>
      </c>
      <c r="AV47" s="40">
        <v>0</v>
      </c>
      <c r="AW47" s="40"/>
      <c r="AX47" s="40">
        <v>3425625</v>
      </c>
      <c r="AY47" s="40">
        <v>0</v>
      </c>
      <c r="AZ47" s="40">
        <f t="shared" si="8"/>
        <v>3425625</v>
      </c>
      <c r="BB47" s="85">
        <v>50206</v>
      </c>
      <c r="BC47" s="40">
        <v>740000</v>
      </c>
      <c r="BD47" s="101">
        <v>0.05</v>
      </c>
      <c r="BE47" s="40">
        <v>1323625</v>
      </c>
      <c r="BF47" s="40">
        <f t="shared" si="9"/>
        <v>2063625</v>
      </c>
      <c r="BH47" s="85">
        <v>50206</v>
      </c>
      <c r="BI47" s="40">
        <v>0</v>
      </c>
      <c r="BJ47" s="87">
        <v>0</v>
      </c>
      <c r="BK47" s="40">
        <f t="shared" si="0"/>
        <v>2426875</v>
      </c>
      <c r="BL47" s="40">
        <f t="shared" si="10"/>
        <v>2426875</v>
      </c>
      <c r="BN47" s="85">
        <v>50206</v>
      </c>
      <c r="BO47" s="40">
        <v>0</v>
      </c>
      <c r="BP47" s="87">
        <v>0</v>
      </c>
      <c r="BQ47" s="40">
        <v>6345062.5</v>
      </c>
      <c r="BR47" s="40">
        <v>0</v>
      </c>
      <c r="BS47" s="40">
        <f t="shared" si="1"/>
        <v>6345062.5</v>
      </c>
      <c r="BT47" s="67"/>
      <c r="BU47" s="85">
        <v>50206</v>
      </c>
      <c r="BW47" s="87"/>
      <c r="BZ47" s="67"/>
      <c r="CA47" s="85">
        <v>50206</v>
      </c>
      <c r="CB47" s="40">
        <v>0</v>
      </c>
      <c r="CC47" s="87">
        <v>0</v>
      </c>
      <c r="CD47" s="40">
        <v>18269725</v>
      </c>
      <c r="CE47" s="40">
        <v>0</v>
      </c>
      <c r="CF47" s="40">
        <f t="shared" si="11"/>
        <v>18269725</v>
      </c>
      <c r="CG47" s="67"/>
      <c r="CH47" s="85">
        <v>50206</v>
      </c>
      <c r="CI47" s="40"/>
      <c r="CJ47" s="87">
        <v>0</v>
      </c>
      <c r="CK47" s="40">
        <v>4176700</v>
      </c>
      <c r="CL47" s="40">
        <f t="shared" si="12"/>
        <v>4176700</v>
      </c>
      <c r="CM47" s="67"/>
      <c r="CN47" s="85">
        <v>50206</v>
      </c>
      <c r="CO47" s="40">
        <v>1628643.8</v>
      </c>
      <c r="CP47" s="87"/>
      <c r="CQ47" s="40">
        <v>0</v>
      </c>
      <c r="CR47" s="40">
        <v>94061356.200000003</v>
      </c>
      <c r="CS47" s="40">
        <f t="shared" si="13"/>
        <v>95690000</v>
      </c>
      <c r="CT47" s="40"/>
      <c r="CU47" s="85">
        <v>50206</v>
      </c>
      <c r="CW47" s="87"/>
      <c r="CZ47" s="40">
        <f t="shared" si="3"/>
        <v>0</v>
      </c>
      <c r="DA47" s="85"/>
      <c r="DB47" s="85">
        <v>50206</v>
      </c>
      <c r="DH47" s="85">
        <v>50206</v>
      </c>
      <c r="DL47" s="40">
        <f t="shared" si="14"/>
        <v>0</v>
      </c>
      <c r="DN47" s="85">
        <v>50206</v>
      </c>
      <c r="DR47" s="40">
        <f t="shared" si="15"/>
        <v>0</v>
      </c>
      <c r="DT47" s="85">
        <v>50206</v>
      </c>
      <c r="DY47" s="40">
        <f t="shared" si="16"/>
        <v>0</v>
      </c>
      <c r="EA47" s="85">
        <v>50206</v>
      </c>
      <c r="EF47" s="40">
        <f t="shared" si="17"/>
        <v>0</v>
      </c>
      <c r="EH47" s="85">
        <v>50206</v>
      </c>
      <c r="EM47" s="40">
        <f t="shared" si="18"/>
        <v>0</v>
      </c>
      <c r="EO47" s="85">
        <v>50206</v>
      </c>
      <c r="ET47" s="40">
        <f t="shared" si="19"/>
        <v>0</v>
      </c>
    </row>
    <row r="48" spans="1:150" x14ac:dyDescent="0.4">
      <c r="A48" s="118">
        <f t="shared" si="26"/>
        <v>56780</v>
      </c>
      <c r="B48" s="85">
        <v>56795</v>
      </c>
      <c r="C48" s="86">
        <f t="shared" si="4"/>
        <v>347244579.60000002</v>
      </c>
      <c r="D48" s="40">
        <f t="shared" si="5"/>
        <v>0</v>
      </c>
      <c r="F48" s="85">
        <v>50405</v>
      </c>
      <c r="G48" s="85"/>
      <c r="H48" s="85">
        <v>50389</v>
      </c>
      <c r="I48" s="40"/>
      <c r="O48" s="85">
        <v>50405</v>
      </c>
      <c r="P48" s="85"/>
      <c r="Q48" s="85">
        <v>50389</v>
      </c>
      <c r="R48" s="40">
        <f t="shared" si="20"/>
        <v>6997288.3499999996</v>
      </c>
      <c r="S48" s="40">
        <f t="shared" si="21"/>
        <v>42173813.75</v>
      </c>
      <c r="T48" s="40">
        <f t="shared" si="22"/>
        <v>161127711.65000001</v>
      </c>
      <c r="U48" s="40">
        <f t="shared" si="23"/>
        <v>0</v>
      </c>
      <c r="V48" s="40">
        <f t="shared" si="24"/>
        <v>210298813.75</v>
      </c>
      <c r="X48" s="85">
        <v>50389</v>
      </c>
      <c r="Y48" s="40">
        <v>837883.8</v>
      </c>
      <c r="Z48" s="101">
        <v>6.5000000000000002E-2</v>
      </c>
      <c r="AA48" s="40">
        <f t="shared" si="25"/>
        <v>213037.5</v>
      </c>
      <c r="AB48" s="40">
        <f>1170000-Y48</f>
        <v>332116.19999999995</v>
      </c>
      <c r="AC48" s="40"/>
      <c r="AD48" s="40">
        <f t="shared" si="27"/>
        <v>1383037.5</v>
      </c>
      <c r="AF48" s="85">
        <v>50389</v>
      </c>
      <c r="AG48" s="40">
        <v>0</v>
      </c>
      <c r="AH48" s="101"/>
      <c r="AI48" s="40">
        <v>4750125</v>
      </c>
      <c r="AJ48" s="40">
        <v>0</v>
      </c>
      <c r="AK48" s="40"/>
      <c r="AL48" s="40">
        <f t="shared" si="6"/>
        <v>4750125</v>
      </c>
      <c r="AN48" s="85">
        <v>50389</v>
      </c>
      <c r="AO48" s="40">
        <v>1939199.8</v>
      </c>
      <c r="AP48" s="101">
        <v>4.7E-2</v>
      </c>
      <c r="AQ48" s="40">
        <v>1261538.75</v>
      </c>
      <c r="AR48" s="40">
        <v>1695800.2</v>
      </c>
      <c r="AS48" s="40">
        <f t="shared" si="7"/>
        <v>4896538.75</v>
      </c>
      <c r="AU48" s="85">
        <v>50389</v>
      </c>
      <c r="AV48" s="40">
        <v>0</v>
      </c>
      <c r="AW48" s="40"/>
      <c r="AX48" s="40">
        <v>3425625</v>
      </c>
      <c r="AY48" s="40">
        <v>0</v>
      </c>
      <c r="AZ48" s="40">
        <f t="shared" si="8"/>
        <v>3425625</v>
      </c>
      <c r="BB48" s="85">
        <v>50389</v>
      </c>
      <c r="BC48" s="40">
        <v>1625000</v>
      </c>
      <c r="BD48" s="101">
        <v>0.05</v>
      </c>
      <c r="BE48" s="40">
        <v>1305125</v>
      </c>
      <c r="BF48" s="40">
        <f t="shared" si="9"/>
        <v>2930125</v>
      </c>
      <c r="BH48" s="85">
        <v>50389</v>
      </c>
      <c r="BI48" s="40">
        <v>0</v>
      </c>
      <c r="BJ48" s="87">
        <v>0</v>
      </c>
      <c r="BK48" s="40">
        <f t="shared" si="0"/>
        <v>2426875</v>
      </c>
      <c r="BL48" s="40">
        <f t="shared" si="10"/>
        <v>2426875</v>
      </c>
      <c r="BN48" s="85">
        <v>50389</v>
      </c>
      <c r="BO48" s="40">
        <v>0</v>
      </c>
      <c r="BP48" s="87">
        <v>0</v>
      </c>
      <c r="BQ48" s="40">
        <v>6345062.5</v>
      </c>
      <c r="BR48" s="40">
        <v>0</v>
      </c>
      <c r="BS48" s="40">
        <f t="shared" si="1"/>
        <v>6345062.5</v>
      </c>
      <c r="BT48" s="67"/>
      <c r="BU48" s="85">
        <v>50389</v>
      </c>
      <c r="BW48" s="87"/>
      <c r="BZ48" s="67"/>
      <c r="CA48" s="85">
        <v>50389</v>
      </c>
      <c r="CB48" s="40">
        <v>0</v>
      </c>
      <c r="CC48" s="87">
        <v>0</v>
      </c>
      <c r="CD48" s="40">
        <v>18269725</v>
      </c>
      <c r="CE48" s="40">
        <v>0</v>
      </c>
      <c r="CF48" s="40">
        <f t="shared" si="11"/>
        <v>18269725</v>
      </c>
      <c r="CG48" s="67"/>
      <c r="CH48" s="85">
        <v>50389</v>
      </c>
      <c r="CI48" s="40"/>
      <c r="CJ48" s="87">
        <v>0</v>
      </c>
      <c r="CK48" s="40">
        <v>4176700</v>
      </c>
      <c r="CL48" s="40">
        <f t="shared" si="12"/>
        <v>4176700</v>
      </c>
      <c r="CM48" s="67"/>
      <c r="CN48" s="85">
        <v>50389</v>
      </c>
      <c r="CO48" s="40">
        <v>2595204.75</v>
      </c>
      <c r="CP48" s="87"/>
      <c r="CQ48" s="40">
        <v>0</v>
      </c>
      <c r="CR48" s="40">
        <v>159099795.25</v>
      </c>
      <c r="CS48" s="40">
        <f t="shared" si="13"/>
        <v>161695000</v>
      </c>
      <c r="CT48" s="40"/>
      <c r="CU48" s="85">
        <v>50389</v>
      </c>
      <c r="CW48" s="87"/>
      <c r="CZ48" s="40">
        <f t="shared" si="3"/>
        <v>0</v>
      </c>
      <c r="DA48" s="85"/>
      <c r="DB48" s="85">
        <v>50389</v>
      </c>
      <c r="DH48" s="85">
        <v>50389</v>
      </c>
      <c r="DL48" s="40">
        <f t="shared" si="14"/>
        <v>0</v>
      </c>
      <c r="DN48" s="85">
        <v>50389</v>
      </c>
      <c r="DR48" s="40">
        <f t="shared" si="15"/>
        <v>0</v>
      </c>
      <c r="DT48" s="85">
        <v>50389</v>
      </c>
      <c r="DY48" s="40">
        <f t="shared" si="16"/>
        <v>0</v>
      </c>
      <c r="EA48" s="85">
        <v>50389</v>
      </c>
      <c r="EF48" s="40">
        <f t="shared" si="17"/>
        <v>0</v>
      </c>
      <c r="EH48" s="85">
        <v>50389</v>
      </c>
      <c r="EM48" s="40">
        <f t="shared" si="18"/>
        <v>0</v>
      </c>
      <c r="EO48" s="85">
        <v>50389</v>
      </c>
      <c r="ET48" s="40">
        <f t="shared" si="19"/>
        <v>0</v>
      </c>
    </row>
    <row r="49" spans="1:150" x14ac:dyDescent="0.4">
      <c r="A49" s="118">
        <f t="shared" si="26"/>
        <v>57146</v>
      </c>
      <c r="B49" s="85">
        <v>57161</v>
      </c>
      <c r="C49" s="86">
        <f t="shared" si="4"/>
        <v>347240703.39999998</v>
      </c>
      <c r="D49" s="40">
        <f t="shared" si="5"/>
        <v>0</v>
      </c>
      <c r="F49" s="85">
        <v>50586</v>
      </c>
      <c r="G49" s="85"/>
      <c r="H49" s="85">
        <v>50571</v>
      </c>
      <c r="I49" s="40">
        <f>SUM(Y48:Y49,AG48:AG49,AO48:AO49,AV48:AV49,BC48:BC49,BI48:BI49,BO48:BO49,BV48:BV49,CB48:CB49,CI48:CI49,CO48:CO49,CV48:CV49,DC48:DC49,DI48:DI49,DO48:DO49,DU48:DU49,EB48:EB49,EI48:EI49,EP48:EP49)</f>
        <v>10069595.949999999</v>
      </c>
      <c r="J49" s="40">
        <f>SUM(AA48:AA49,AI48:AI49,AQ48:AQ49,AX48:AX49,BE48:BE49,BK48:BK49,BQ48:BQ49,BX48:BX49,CD48:CD49,CK48:CK49,CQ48:CQ49,CX48:CX49,DE48:DE49,DK48:DK49,DQ48:DQ49,DW48:DW49,ED48:ED49,EK48:EK49,ER48:ER49)</f>
        <v>84183555</v>
      </c>
      <c r="K49" s="40">
        <f>SUM(AB48:AB49,AJ48:AJ49,AR48:AR49,AY48:AY49,BR48:BR49,CE48:CE49,CR48:CR49,CY48:CY49,DX48:DX49,EE48:EE49,EL48:EL49,ES48:ES49)</f>
        <v>255695404.05000001</v>
      </c>
      <c r="L49" s="40">
        <f>SUM(AC48:AC49,AK48:AK49)</f>
        <v>0</v>
      </c>
      <c r="M49" s="40">
        <f>SUM(I49:L49)</f>
        <v>349948555</v>
      </c>
      <c r="O49" s="85">
        <v>50586</v>
      </c>
      <c r="P49" s="85"/>
      <c r="Q49" s="85">
        <v>50571</v>
      </c>
      <c r="R49" s="40">
        <f t="shared" si="20"/>
        <v>3072307.6</v>
      </c>
      <c r="S49" s="40">
        <f t="shared" si="21"/>
        <v>42009741.25</v>
      </c>
      <c r="T49" s="40">
        <f t="shared" si="22"/>
        <v>94567692.400000006</v>
      </c>
      <c r="U49" s="40">
        <f t="shared" si="23"/>
        <v>0</v>
      </c>
      <c r="V49" s="40">
        <f t="shared" si="24"/>
        <v>139649741.25</v>
      </c>
      <c r="X49" s="85">
        <v>50571</v>
      </c>
      <c r="Y49" s="40">
        <v>823561</v>
      </c>
      <c r="Z49" s="101">
        <v>6.5000000000000002E-2</v>
      </c>
      <c r="AA49" s="40">
        <f t="shared" si="25"/>
        <v>175012.5</v>
      </c>
      <c r="AB49" s="40">
        <f>1150000-Y49</f>
        <v>326439</v>
      </c>
      <c r="AC49" s="40"/>
      <c r="AD49" s="40">
        <f t="shared" si="27"/>
        <v>1325012.5</v>
      </c>
      <c r="AF49" s="85">
        <v>50571</v>
      </c>
      <c r="AG49" s="40">
        <v>0</v>
      </c>
      <c r="AH49" s="101"/>
      <c r="AI49" s="40">
        <v>4750125</v>
      </c>
      <c r="AJ49" s="40">
        <v>0</v>
      </c>
      <c r="AK49" s="40"/>
      <c r="AL49" s="40">
        <f t="shared" si="6"/>
        <v>4750125</v>
      </c>
      <c r="AN49" s="85">
        <v>50571</v>
      </c>
      <c r="AO49" s="40">
        <v>0</v>
      </c>
      <c r="AQ49" s="40">
        <v>1176116.25</v>
      </c>
      <c r="AR49" s="40">
        <v>0</v>
      </c>
      <c r="AS49" s="40">
        <f t="shared" si="7"/>
        <v>1176116.25</v>
      </c>
      <c r="AU49" s="85">
        <v>50571</v>
      </c>
      <c r="AV49" s="40">
        <v>0</v>
      </c>
      <c r="AW49" s="40"/>
      <c r="AX49" s="40">
        <v>3425625</v>
      </c>
      <c r="AY49" s="40">
        <v>0</v>
      </c>
      <c r="AZ49" s="40">
        <f t="shared" si="8"/>
        <v>3425625</v>
      </c>
      <c r="BB49" s="85">
        <v>50571</v>
      </c>
      <c r="BC49" s="40">
        <v>800000</v>
      </c>
      <c r="BD49" s="101">
        <v>0.05</v>
      </c>
      <c r="BE49" s="40">
        <v>1264500</v>
      </c>
      <c r="BF49" s="40">
        <f t="shared" si="9"/>
        <v>2064500</v>
      </c>
      <c r="BH49" s="85">
        <v>50571</v>
      </c>
      <c r="BI49" s="40">
        <v>0</v>
      </c>
      <c r="BJ49" s="87">
        <v>0</v>
      </c>
      <c r="BK49" s="40">
        <f t="shared" si="0"/>
        <v>2426875</v>
      </c>
      <c r="BL49" s="40">
        <f t="shared" si="10"/>
        <v>2426875</v>
      </c>
      <c r="BN49" s="85">
        <v>50571</v>
      </c>
      <c r="BO49" s="40">
        <v>0</v>
      </c>
      <c r="BP49" s="87">
        <v>0</v>
      </c>
      <c r="BQ49" s="40">
        <v>6345062.5</v>
      </c>
      <c r="BR49" s="40">
        <v>0</v>
      </c>
      <c r="BS49" s="40">
        <f t="shared" si="1"/>
        <v>6345062.5</v>
      </c>
      <c r="BT49" s="67"/>
      <c r="BU49" s="85">
        <v>50571</v>
      </c>
      <c r="BW49" s="87"/>
      <c r="BZ49" s="67"/>
      <c r="CA49" s="85">
        <v>50571</v>
      </c>
      <c r="CB49" s="40">
        <v>0</v>
      </c>
      <c r="CC49" s="87">
        <v>0</v>
      </c>
      <c r="CD49" s="40">
        <v>18269725</v>
      </c>
      <c r="CE49" s="40">
        <v>0</v>
      </c>
      <c r="CF49" s="40">
        <f t="shared" si="11"/>
        <v>18269725</v>
      </c>
      <c r="CG49" s="67"/>
      <c r="CH49" s="85">
        <v>50571</v>
      </c>
      <c r="CI49" s="40"/>
      <c r="CJ49" s="87">
        <v>0</v>
      </c>
      <c r="CK49" s="40">
        <v>4176700</v>
      </c>
      <c r="CL49" s="40">
        <f t="shared" si="12"/>
        <v>4176700</v>
      </c>
      <c r="CM49" s="67"/>
      <c r="CN49" s="85">
        <v>50571</v>
      </c>
      <c r="CO49" s="40">
        <v>1448746.6</v>
      </c>
      <c r="CP49" s="87"/>
      <c r="CQ49" s="40">
        <v>0</v>
      </c>
      <c r="CR49" s="40">
        <v>94241253.400000006</v>
      </c>
      <c r="CS49" s="40">
        <f t="shared" si="13"/>
        <v>95690000</v>
      </c>
      <c r="CT49" s="40"/>
      <c r="CU49" s="85">
        <v>50571</v>
      </c>
      <c r="CW49" s="87"/>
      <c r="CZ49" s="40">
        <f t="shared" si="3"/>
        <v>0</v>
      </c>
      <c r="DA49" s="85"/>
      <c r="DB49" s="85">
        <v>50571</v>
      </c>
      <c r="DH49" s="85">
        <v>50571</v>
      </c>
      <c r="DL49" s="40">
        <f t="shared" si="14"/>
        <v>0</v>
      </c>
      <c r="DN49" s="85">
        <v>50571</v>
      </c>
      <c r="DR49" s="40">
        <f t="shared" si="15"/>
        <v>0</v>
      </c>
      <c r="DT49" s="85">
        <v>50571</v>
      </c>
      <c r="DY49" s="40">
        <f t="shared" si="16"/>
        <v>0</v>
      </c>
      <c r="EA49" s="85">
        <v>50571</v>
      </c>
      <c r="EF49" s="40">
        <f t="shared" si="17"/>
        <v>0</v>
      </c>
      <c r="EH49" s="85">
        <v>50571</v>
      </c>
      <c r="EM49" s="40">
        <f t="shared" si="18"/>
        <v>0</v>
      </c>
      <c r="EO49" s="85">
        <v>50571</v>
      </c>
      <c r="ET49" s="40">
        <f t="shared" si="19"/>
        <v>0</v>
      </c>
    </row>
    <row r="50" spans="1:150" x14ac:dyDescent="0.4">
      <c r="A50" s="118">
        <f t="shared" si="26"/>
        <v>57511</v>
      </c>
      <c r="B50" s="85">
        <v>57526</v>
      </c>
      <c r="C50" s="86">
        <f t="shared" si="4"/>
        <v>347248625</v>
      </c>
      <c r="D50" s="40">
        <f t="shared" si="5"/>
        <v>0</v>
      </c>
      <c r="F50" s="85">
        <v>50770</v>
      </c>
      <c r="G50" s="85"/>
      <c r="H50" s="85">
        <v>50754</v>
      </c>
      <c r="I50" s="40"/>
      <c r="O50" s="85">
        <v>50770</v>
      </c>
      <c r="P50" s="85"/>
      <c r="Q50" s="85">
        <v>50754</v>
      </c>
      <c r="R50" s="40">
        <f t="shared" si="20"/>
        <v>6878956.4500000002</v>
      </c>
      <c r="S50" s="40">
        <f t="shared" si="21"/>
        <v>41952366.25</v>
      </c>
      <c r="T50" s="40">
        <f t="shared" si="22"/>
        <v>161556043.54999998</v>
      </c>
      <c r="U50" s="40">
        <f t="shared" si="23"/>
        <v>0</v>
      </c>
      <c r="V50" s="40">
        <f t="shared" si="24"/>
        <v>210387366.25</v>
      </c>
      <c r="X50" s="85">
        <v>50754</v>
      </c>
      <c r="Y50" s="40">
        <v>888013.6</v>
      </c>
      <c r="Z50" s="101">
        <v>6.5000000000000002E-2</v>
      </c>
      <c r="AA50" s="40">
        <f t="shared" si="25"/>
        <v>137637.5</v>
      </c>
      <c r="AB50" s="40">
        <f>1240000-Y50</f>
        <v>351986.4</v>
      </c>
      <c r="AC50" s="40"/>
      <c r="AD50" s="40">
        <f t="shared" si="27"/>
        <v>1377637.5</v>
      </c>
      <c r="AF50" s="85">
        <v>50754</v>
      </c>
      <c r="AG50" s="40">
        <v>0</v>
      </c>
      <c r="AH50" s="101"/>
      <c r="AI50" s="40">
        <v>4750125</v>
      </c>
      <c r="AJ50" s="40">
        <v>0</v>
      </c>
      <c r="AK50" s="40"/>
      <c r="AL50" s="40">
        <f t="shared" si="6"/>
        <v>4750125</v>
      </c>
      <c r="AN50" s="85">
        <v>50754</v>
      </c>
      <c r="AO50" s="40">
        <v>1995321.3</v>
      </c>
      <c r="AP50" s="101">
        <v>4.8500000000000001E-2</v>
      </c>
      <c r="AQ50" s="40">
        <v>1176116.25</v>
      </c>
      <c r="AR50" s="40">
        <v>1819678.7</v>
      </c>
      <c r="AS50" s="40">
        <f t="shared" si="7"/>
        <v>4991116.25</v>
      </c>
      <c r="AU50" s="85">
        <v>50754</v>
      </c>
      <c r="AV50" s="40">
        <v>0</v>
      </c>
      <c r="AW50" s="40"/>
      <c r="AX50" s="40">
        <v>3425625</v>
      </c>
      <c r="AY50" s="40">
        <v>0</v>
      </c>
      <c r="AZ50" s="40">
        <f t="shared" si="8"/>
        <v>3425625</v>
      </c>
      <c r="BB50" s="85">
        <v>50754</v>
      </c>
      <c r="BC50" s="40">
        <v>1685000</v>
      </c>
      <c r="BD50" s="101">
        <v>0.05</v>
      </c>
      <c r="BE50" s="40">
        <v>1244500</v>
      </c>
      <c r="BF50" s="40">
        <f t="shared" si="9"/>
        <v>2929500</v>
      </c>
      <c r="BH50" s="85">
        <v>50754</v>
      </c>
      <c r="BI50" s="40">
        <v>0</v>
      </c>
      <c r="BJ50" s="87">
        <v>0</v>
      </c>
      <c r="BK50" s="40">
        <f t="shared" si="0"/>
        <v>2426875</v>
      </c>
      <c r="BL50" s="40">
        <f t="shared" si="10"/>
        <v>2426875</v>
      </c>
      <c r="BN50" s="85">
        <v>50754</v>
      </c>
      <c r="BO50" s="40">
        <v>0</v>
      </c>
      <c r="BP50" s="87">
        <v>0</v>
      </c>
      <c r="BQ50" s="40">
        <v>6345062.5</v>
      </c>
      <c r="BR50" s="40">
        <v>0</v>
      </c>
      <c r="BS50" s="40">
        <f t="shared" si="1"/>
        <v>6345062.5</v>
      </c>
      <c r="BT50" s="67"/>
      <c r="BU50" s="85">
        <v>50754</v>
      </c>
      <c r="BW50" s="87"/>
      <c r="BZ50" s="67"/>
      <c r="CA50" s="85">
        <v>50754</v>
      </c>
      <c r="CB50" s="40">
        <v>0</v>
      </c>
      <c r="CC50" s="87">
        <v>0</v>
      </c>
      <c r="CD50" s="40">
        <v>18269725</v>
      </c>
      <c r="CE50" s="40">
        <v>0</v>
      </c>
      <c r="CF50" s="40">
        <f t="shared" si="11"/>
        <v>18269725</v>
      </c>
      <c r="CG50" s="67"/>
      <c r="CH50" s="85">
        <v>50754</v>
      </c>
      <c r="CI50" s="40"/>
      <c r="CJ50" s="87">
        <v>0</v>
      </c>
      <c r="CK50" s="40">
        <v>4176700</v>
      </c>
      <c r="CL50" s="40">
        <f t="shared" si="12"/>
        <v>4176700</v>
      </c>
      <c r="CM50" s="67"/>
      <c r="CN50" s="85">
        <v>50754</v>
      </c>
      <c r="CO50" s="40">
        <v>2310621.5499999998</v>
      </c>
      <c r="CP50" s="87"/>
      <c r="CQ50" s="40">
        <v>0</v>
      </c>
      <c r="CR50" s="40">
        <v>159384378.44999999</v>
      </c>
      <c r="CS50" s="40">
        <f t="shared" si="13"/>
        <v>161695000</v>
      </c>
      <c r="CT50" s="40"/>
      <c r="CU50" s="85">
        <v>50754</v>
      </c>
      <c r="CW50" s="87"/>
      <c r="CZ50" s="40">
        <f t="shared" si="3"/>
        <v>0</v>
      </c>
      <c r="DA50" s="85"/>
      <c r="DB50" s="85">
        <v>50754</v>
      </c>
      <c r="DH50" s="85">
        <v>50754</v>
      </c>
      <c r="DL50" s="40">
        <f t="shared" si="14"/>
        <v>0</v>
      </c>
      <c r="DN50" s="85">
        <v>50754</v>
      </c>
      <c r="DR50" s="40">
        <f t="shared" si="15"/>
        <v>0</v>
      </c>
      <c r="DT50" s="85">
        <v>50754</v>
      </c>
      <c r="DY50" s="40">
        <f t="shared" si="16"/>
        <v>0</v>
      </c>
      <c r="EA50" s="85">
        <v>50754</v>
      </c>
      <c r="EF50" s="40">
        <f t="shared" si="17"/>
        <v>0</v>
      </c>
      <c r="EH50" s="85">
        <v>50754</v>
      </c>
      <c r="EM50" s="40">
        <f t="shared" si="18"/>
        <v>0</v>
      </c>
      <c r="EO50" s="85">
        <v>50754</v>
      </c>
      <c r="ET50" s="40">
        <f t="shared" si="19"/>
        <v>0</v>
      </c>
    </row>
    <row r="51" spans="1:150" x14ac:dyDescent="0.4">
      <c r="A51" s="118">
        <f t="shared" si="26"/>
        <v>57876</v>
      </c>
      <c r="B51" s="85">
        <v>57891</v>
      </c>
      <c r="C51" s="86">
        <f t="shared" si="4"/>
        <v>0</v>
      </c>
      <c r="D51" s="40">
        <f t="shared" si="5"/>
        <v>0</v>
      </c>
      <c r="F51" s="85">
        <v>50951</v>
      </c>
      <c r="G51" s="85"/>
      <c r="H51" s="85">
        <v>50936</v>
      </c>
      <c r="I51" s="40">
        <f>SUM(Y50:Y51,AG50:AG51,AO50:AO51,AV50:AV51,BC50:BC51,BI50:BI51,BO50:BO51,BV50:BV51,CB50:CB51,CI50:CI51,CO50:CO51,CV50:CV51,DC50:DC51,DI50:DI51,DO50:DO51,DU50:DU51,EB50:EB51,EI50:EI51,EP50:EP51)</f>
        <v>9914709.8499999978</v>
      </c>
      <c r="J51" s="40">
        <f>SUM(AA50:AA51,AI50:AI51,AQ50:AQ51,AX50:AX51,BE50:BE51,BK50:BK51,BQ50:BQ51,BX50:BX51,CD50:CD51,CK50:CK51,CQ50:CQ51,CX50:CX51,DE50:DE51,DK50:DK51,DQ50:DQ51,DW50:DW51,ED50:ED51,EK50:EK51,ER50:ER51)</f>
        <v>83729793.75</v>
      </c>
      <c r="K51" s="40">
        <f>SUM(AB50:AB51,AJ50:AJ51,AR50:AR51,AY50:AY51,BR50:BR51,CE50:CE51,CR50:CR51,CY50:CY51,DX50:DX51,EE50:EE51,EL50:EL51,ES50:ES51)</f>
        <v>256305290.14999998</v>
      </c>
      <c r="L51" s="40">
        <f>SUM(AC50:AC51,AK50:AK51)</f>
        <v>0</v>
      </c>
      <c r="M51" s="40">
        <f>SUM(I51:L51)</f>
        <v>349949793.75</v>
      </c>
      <c r="O51" s="85">
        <v>50951</v>
      </c>
      <c r="P51" s="85"/>
      <c r="Q51" s="85">
        <v>50936</v>
      </c>
      <c r="R51" s="40">
        <f t="shared" si="20"/>
        <v>3035753.4</v>
      </c>
      <c r="S51" s="40">
        <f t="shared" si="21"/>
        <v>41777427.5</v>
      </c>
      <c r="T51" s="40">
        <f t="shared" si="22"/>
        <v>94749246.599999994</v>
      </c>
      <c r="U51" s="40">
        <f t="shared" si="23"/>
        <v>0</v>
      </c>
      <c r="V51" s="40">
        <f t="shared" si="24"/>
        <v>139562427.5</v>
      </c>
      <c r="X51" s="85">
        <v>50936</v>
      </c>
      <c r="Y51" s="40">
        <v>880852.2</v>
      </c>
      <c r="Z51" s="101">
        <v>6.5000000000000002E-2</v>
      </c>
      <c r="AA51" s="40">
        <f t="shared" si="25"/>
        <v>97337.5</v>
      </c>
      <c r="AB51" s="40">
        <f>1230000-Y51</f>
        <v>349147.80000000005</v>
      </c>
      <c r="AC51" s="40"/>
      <c r="AD51" s="40">
        <f t="shared" si="27"/>
        <v>1327337.5</v>
      </c>
      <c r="AF51" s="85">
        <v>50936</v>
      </c>
      <c r="AG51" s="40">
        <v>0</v>
      </c>
      <c r="AH51" s="101"/>
      <c r="AI51" s="40">
        <v>4750125</v>
      </c>
      <c r="AJ51" s="40">
        <v>0</v>
      </c>
      <c r="AK51" s="40"/>
      <c r="AL51" s="40">
        <f t="shared" si="6"/>
        <v>4750125</v>
      </c>
      <c r="AN51" s="85">
        <v>50936</v>
      </c>
      <c r="AO51" s="40">
        <v>0</v>
      </c>
      <c r="AQ51" s="40">
        <v>1083602.5</v>
      </c>
      <c r="AR51" s="40">
        <v>0</v>
      </c>
      <c r="AS51" s="40">
        <f t="shared" si="7"/>
        <v>1083602.5</v>
      </c>
      <c r="AU51" s="85">
        <v>50936</v>
      </c>
      <c r="AV51" s="40">
        <v>0</v>
      </c>
      <c r="AW51" s="40"/>
      <c r="AX51" s="40">
        <v>3425625</v>
      </c>
      <c r="AY51" s="40">
        <v>0</v>
      </c>
      <c r="AZ51" s="40">
        <f t="shared" si="8"/>
        <v>3425625</v>
      </c>
      <c r="BB51" s="85">
        <v>50936</v>
      </c>
      <c r="BC51" s="40">
        <v>865000</v>
      </c>
      <c r="BD51" s="101">
        <v>0.05</v>
      </c>
      <c r="BE51" s="40">
        <v>1202375</v>
      </c>
      <c r="BF51" s="40">
        <f t="shared" si="9"/>
        <v>2067375</v>
      </c>
      <c r="BH51" s="85">
        <v>50936</v>
      </c>
      <c r="BI51" s="40">
        <v>0</v>
      </c>
      <c r="BJ51" s="87">
        <v>0</v>
      </c>
      <c r="BK51" s="40">
        <f t="shared" si="0"/>
        <v>2426875</v>
      </c>
      <c r="BL51" s="40">
        <f t="shared" si="10"/>
        <v>2426875</v>
      </c>
      <c r="BN51" s="85">
        <v>50936</v>
      </c>
      <c r="BO51" s="40">
        <v>0</v>
      </c>
      <c r="BP51" s="87">
        <v>0</v>
      </c>
      <c r="BQ51" s="40">
        <v>6345062.5</v>
      </c>
      <c r="BR51" s="40">
        <v>0</v>
      </c>
      <c r="BS51" s="40">
        <f t="shared" si="1"/>
        <v>6345062.5</v>
      </c>
      <c r="BT51" s="67"/>
      <c r="BU51" s="85">
        <v>50936</v>
      </c>
      <c r="BW51" s="87"/>
      <c r="BZ51" s="67"/>
      <c r="CA51" s="85">
        <v>50936</v>
      </c>
      <c r="CB51" s="40">
        <v>0</v>
      </c>
      <c r="CC51" s="87">
        <v>0</v>
      </c>
      <c r="CD51" s="40">
        <v>18269725</v>
      </c>
      <c r="CE51" s="40">
        <v>0</v>
      </c>
      <c r="CF51" s="40">
        <f t="shared" si="11"/>
        <v>18269725</v>
      </c>
      <c r="CG51" s="67"/>
      <c r="CH51" s="85">
        <v>50936</v>
      </c>
      <c r="CI51" s="40"/>
      <c r="CJ51" s="87">
        <v>0</v>
      </c>
      <c r="CK51" s="40">
        <v>4176700</v>
      </c>
      <c r="CL51" s="40">
        <f t="shared" si="12"/>
        <v>4176700</v>
      </c>
      <c r="CM51" s="67"/>
      <c r="CN51" s="85">
        <v>50936</v>
      </c>
      <c r="CO51" s="40">
        <v>1289901.2</v>
      </c>
      <c r="CP51" s="87"/>
      <c r="CQ51" s="40">
        <v>0</v>
      </c>
      <c r="CR51" s="40">
        <v>94400098.799999997</v>
      </c>
      <c r="CS51" s="40">
        <f t="shared" si="13"/>
        <v>95690000</v>
      </c>
      <c r="CT51" s="40"/>
      <c r="CU51" s="85">
        <v>50936</v>
      </c>
      <c r="CW51" s="87"/>
      <c r="CZ51" s="40">
        <f t="shared" si="3"/>
        <v>0</v>
      </c>
      <c r="DA51" s="85"/>
      <c r="DB51" s="85">
        <v>50936</v>
      </c>
      <c r="DH51" s="85">
        <v>50936</v>
      </c>
      <c r="DL51" s="40">
        <f t="shared" si="14"/>
        <v>0</v>
      </c>
      <c r="DN51" s="85">
        <v>50936</v>
      </c>
      <c r="DR51" s="40">
        <f t="shared" si="15"/>
        <v>0</v>
      </c>
      <c r="DT51" s="85">
        <v>50936</v>
      </c>
      <c r="DY51" s="40">
        <f t="shared" si="16"/>
        <v>0</v>
      </c>
      <c r="EA51" s="85">
        <v>50936</v>
      </c>
      <c r="EF51" s="40">
        <f t="shared" si="17"/>
        <v>0</v>
      </c>
      <c r="EH51" s="85">
        <v>50936</v>
      </c>
      <c r="EM51" s="40">
        <f t="shared" si="18"/>
        <v>0</v>
      </c>
      <c r="EO51" s="85">
        <v>50936</v>
      </c>
      <c r="ET51" s="40">
        <f t="shared" si="19"/>
        <v>0</v>
      </c>
    </row>
    <row r="52" spans="1:150" x14ac:dyDescent="0.4">
      <c r="A52" s="118">
        <f t="shared" si="26"/>
        <v>58241</v>
      </c>
      <c r="B52" s="85">
        <v>58256</v>
      </c>
      <c r="C52" s="86">
        <f t="shared" si="4"/>
        <v>0</v>
      </c>
      <c r="D52" s="40">
        <f t="shared" si="5"/>
        <v>0</v>
      </c>
      <c r="F52" s="85">
        <v>51135</v>
      </c>
      <c r="G52" s="85"/>
      <c r="H52" s="85">
        <v>51119</v>
      </c>
      <c r="I52" s="40"/>
      <c r="O52" s="85">
        <v>51135</v>
      </c>
      <c r="P52" s="85"/>
      <c r="Q52" s="85">
        <v>51119</v>
      </c>
      <c r="R52" s="40">
        <f t="shared" si="20"/>
        <v>6563233.6500000004</v>
      </c>
      <c r="S52" s="40">
        <f t="shared" si="21"/>
        <v>41715827.5</v>
      </c>
      <c r="T52" s="40">
        <f t="shared" si="22"/>
        <v>161811766.35000002</v>
      </c>
      <c r="U52" s="40">
        <f t="shared" si="23"/>
        <v>0</v>
      </c>
      <c r="V52" s="40">
        <f t="shared" si="24"/>
        <v>210090827.50000003</v>
      </c>
      <c r="X52" s="85">
        <v>51119</v>
      </c>
      <c r="Y52" s="40">
        <v>666010.19999999995</v>
      </c>
      <c r="Z52" s="101">
        <v>6.5000000000000002E-2</v>
      </c>
      <c r="AA52" s="40">
        <f t="shared" si="25"/>
        <v>57362.5</v>
      </c>
      <c r="AB52" s="40">
        <f>930000-Y52</f>
        <v>263989.80000000005</v>
      </c>
      <c r="AC52" s="40"/>
      <c r="AD52" s="40">
        <f t="shared" si="27"/>
        <v>987362.5</v>
      </c>
      <c r="AF52" s="85">
        <v>51119</v>
      </c>
      <c r="AG52" s="40">
        <v>0</v>
      </c>
      <c r="AH52" s="101"/>
      <c r="AI52" s="40">
        <v>4750125</v>
      </c>
      <c r="AJ52" s="40">
        <v>0</v>
      </c>
      <c r="AK52" s="40"/>
      <c r="AL52" s="40">
        <f t="shared" si="6"/>
        <v>4750125</v>
      </c>
      <c r="AN52" s="85">
        <v>51119</v>
      </c>
      <c r="AO52" s="40">
        <v>2092080</v>
      </c>
      <c r="AP52" s="101">
        <v>4.8500000000000001E-2</v>
      </c>
      <c r="AQ52" s="40">
        <v>1083602.5</v>
      </c>
      <c r="AR52" s="40">
        <v>1907920</v>
      </c>
      <c r="AS52" s="40">
        <f t="shared" si="7"/>
        <v>5083602.5</v>
      </c>
      <c r="AU52" s="85">
        <v>51119</v>
      </c>
      <c r="AV52" s="40">
        <v>0</v>
      </c>
      <c r="AW52" s="40"/>
      <c r="AX52" s="40">
        <v>3425625</v>
      </c>
      <c r="AY52" s="40">
        <v>0</v>
      </c>
      <c r="AZ52" s="40">
        <f t="shared" si="8"/>
        <v>3425625</v>
      </c>
      <c r="BB52" s="85">
        <v>51119</v>
      </c>
      <c r="BC52" s="40">
        <v>1750000</v>
      </c>
      <c r="BD52" s="101">
        <v>0.05</v>
      </c>
      <c r="BE52" s="40">
        <v>1180750</v>
      </c>
      <c r="BF52" s="40">
        <f t="shared" si="9"/>
        <v>2930750</v>
      </c>
      <c r="BH52" s="85">
        <v>51119</v>
      </c>
      <c r="BI52" s="40">
        <v>0</v>
      </c>
      <c r="BJ52" s="87">
        <v>0</v>
      </c>
      <c r="BK52" s="40">
        <f t="shared" si="0"/>
        <v>2426875</v>
      </c>
      <c r="BL52" s="40">
        <f t="shared" si="10"/>
        <v>2426875</v>
      </c>
      <c r="BN52" s="85">
        <v>51119</v>
      </c>
      <c r="BO52" s="40">
        <v>0</v>
      </c>
      <c r="BP52" s="87">
        <v>0</v>
      </c>
      <c r="BQ52" s="40">
        <v>6345062.5</v>
      </c>
      <c r="BR52" s="40">
        <v>0</v>
      </c>
      <c r="BS52" s="40">
        <f t="shared" si="1"/>
        <v>6345062.5</v>
      </c>
      <c r="BT52" s="67"/>
      <c r="BU52" s="85">
        <v>51119</v>
      </c>
      <c r="BW52" s="87"/>
      <c r="BZ52" s="67"/>
      <c r="CA52" s="85">
        <v>51119</v>
      </c>
      <c r="CB52" s="40">
        <v>0</v>
      </c>
      <c r="CC52" s="87">
        <v>0</v>
      </c>
      <c r="CD52" s="40">
        <v>18269725</v>
      </c>
      <c r="CE52" s="40">
        <v>0</v>
      </c>
      <c r="CF52" s="40">
        <f t="shared" si="11"/>
        <v>18269725</v>
      </c>
      <c r="CG52" s="67"/>
      <c r="CH52" s="85">
        <v>51119</v>
      </c>
      <c r="CI52" s="40"/>
      <c r="CJ52" s="87">
        <v>0</v>
      </c>
      <c r="CK52" s="40">
        <v>4176700</v>
      </c>
      <c r="CL52" s="40">
        <f t="shared" si="12"/>
        <v>4176700</v>
      </c>
      <c r="CM52" s="67"/>
      <c r="CN52" s="85">
        <v>51119</v>
      </c>
      <c r="CO52" s="40">
        <v>2055143.45</v>
      </c>
      <c r="CP52" s="87"/>
      <c r="CQ52" s="40">
        <v>0</v>
      </c>
      <c r="CR52" s="40">
        <v>159639856.55000001</v>
      </c>
      <c r="CS52" s="40">
        <f t="shared" si="13"/>
        <v>161695000</v>
      </c>
      <c r="CT52" s="40"/>
      <c r="CU52" s="85">
        <v>51119</v>
      </c>
      <c r="CW52" s="87"/>
      <c r="CZ52" s="40">
        <f t="shared" si="3"/>
        <v>0</v>
      </c>
      <c r="DA52" s="85"/>
      <c r="DB52" s="85">
        <v>51119</v>
      </c>
      <c r="DH52" s="85">
        <v>51119</v>
      </c>
      <c r="DL52" s="40">
        <f t="shared" si="14"/>
        <v>0</v>
      </c>
      <c r="DN52" s="85">
        <v>51119</v>
      </c>
      <c r="DR52" s="40">
        <f t="shared" si="15"/>
        <v>0</v>
      </c>
      <c r="DT52" s="85">
        <v>51119</v>
      </c>
      <c r="DY52" s="40">
        <f t="shared" si="16"/>
        <v>0</v>
      </c>
      <c r="EA52" s="85">
        <v>51119</v>
      </c>
      <c r="EF52" s="40">
        <f t="shared" si="17"/>
        <v>0</v>
      </c>
      <c r="EH52" s="85">
        <v>51119</v>
      </c>
      <c r="EM52" s="40">
        <f t="shared" si="18"/>
        <v>0</v>
      </c>
      <c r="EO52" s="85">
        <v>51119</v>
      </c>
      <c r="ET52" s="40">
        <f t="shared" si="19"/>
        <v>0</v>
      </c>
    </row>
    <row r="53" spans="1:150" x14ac:dyDescent="0.4">
      <c r="A53" s="118">
        <f t="shared" si="26"/>
        <v>58607</v>
      </c>
      <c r="B53" s="85">
        <v>58622</v>
      </c>
      <c r="C53" s="86">
        <f t="shared" si="4"/>
        <v>0</v>
      </c>
      <c r="D53" s="40">
        <f t="shared" si="5"/>
        <v>0</v>
      </c>
      <c r="F53" s="85">
        <v>51317</v>
      </c>
      <c r="G53" s="85"/>
      <c r="H53" s="85">
        <v>51302</v>
      </c>
      <c r="I53" s="40">
        <f>SUM(Y52:Y53,AG52:AG53,AO52:AO53,AV52:AV53,BC52:BC53,BI52:BI53,BO52:BO53,BV52:BV53,CB52:CB53,CI52:CI53,CO52:CO53,CV52:CV53,DC52:DC53,DI52:DI53,DO52:DO53,DU52:DU53,EB52:EB53,EI52:EI53,EP52:EP53)</f>
        <v>9238533.6500000004</v>
      </c>
      <c r="J53" s="40">
        <f>SUM(AA52:AA53,AI52:AI53,AQ52:AQ53,AX52:AX53,BE52:BE53,BK52:BK53,BQ52:BQ53,BX52:BX53,CD52:CD53,CK52:CK53,CQ52:CQ53,CX52:CX53,DE52:DE53,DK52:DK53,DQ52:DQ53,DW52:DW53,ED52:ED53,EK52:EK53,ER52:ER53)</f>
        <v>83260680</v>
      </c>
      <c r="K53" s="40">
        <f>SUM(AB52:AB53,AJ52:AJ53,AR52:AR53,AY52:AY53,BR52:BR53,CE52:CE53,CR52:CR53,CY52:CY53,DX52:DX53,EE52:EE53,EL52:EL53,ES52:ES53)</f>
        <v>256591466.35000002</v>
      </c>
      <c r="L53" s="40">
        <f>SUM(AC52:AC53,AK52:AK53)</f>
        <v>0</v>
      </c>
      <c r="M53" s="40">
        <f>SUM(I53:L53)</f>
        <v>349090680</v>
      </c>
      <c r="O53" s="85">
        <v>51317</v>
      </c>
      <c r="P53" s="85"/>
      <c r="Q53" s="85">
        <v>51302</v>
      </c>
      <c r="R53" s="40">
        <f t="shared" si="20"/>
        <v>2675300</v>
      </c>
      <c r="S53" s="40">
        <f t="shared" si="21"/>
        <v>41544852.5</v>
      </c>
      <c r="T53" s="40">
        <f t="shared" si="22"/>
        <v>94779700</v>
      </c>
      <c r="U53" s="40">
        <f t="shared" si="23"/>
        <v>0</v>
      </c>
      <c r="V53" s="40">
        <f t="shared" si="24"/>
        <v>138999852.5</v>
      </c>
      <c r="X53" s="85">
        <v>51302</v>
      </c>
      <c r="Y53" s="40">
        <v>597976.9</v>
      </c>
      <c r="Z53" s="101">
        <v>6.5000000000000002E-2</v>
      </c>
      <c r="AA53" s="40">
        <f>(Y53+AB53)*Z53/2+AA54</f>
        <v>27137.5</v>
      </c>
      <c r="AB53" s="40">
        <f>835000-Y53</f>
        <v>237023.09999999998</v>
      </c>
      <c r="AC53" s="40"/>
      <c r="AD53" s="40">
        <f t="shared" si="27"/>
        <v>862137.5</v>
      </c>
      <c r="AF53" s="85">
        <v>51302</v>
      </c>
      <c r="AG53" s="40">
        <v>0</v>
      </c>
      <c r="AH53" s="101"/>
      <c r="AI53" s="40">
        <v>4750125</v>
      </c>
      <c r="AJ53" s="40">
        <v>0</v>
      </c>
      <c r="AK53" s="40"/>
      <c r="AL53" s="40">
        <f t="shared" si="6"/>
        <v>4750125</v>
      </c>
      <c r="AN53" s="85">
        <v>51302</v>
      </c>
      <c r="AO53" s="40">
        <v>0</v>
      </c>
      <c r="AQ53" s="40">
        <v>986602.5</v>
      </c>
      <c r="AR53" s="40">
        <v>0</v>
      </c>
      <c r="AS53" s="40">
        <f t="shared" si="7"/>
        <v>986602.5</v>
      </c>
      <c r="AU53" s="85">
        <v>51302</v>
      </c>
      <c r="AV53" s="40">
        <v>0</v>
      </c>
      <c r="AW53" s="40"/>
      <c r="AX53" s="40">
        <v>3425625</v>
      </c>
      <c r="AY53" s="40">
        <v>0</v>
      </c>
      <c r="AZ53" s="40">
        <f t="shared" si="8"/>
        <v>3425625</v>
      </c>
      <c r="BB53" s="85">
        <v>51302</v>
      </c>
      <c r="BC53" s="40">
        <v>930000</v>
      </c>
      <c r="BD53" s="101">
        <v>0.05</v>
      </c>
      <c r="BE53" s="40">
        <v>1137000</v>
      </c>
      <c r="BF53" s="40">
        <f t="shared" si="9"/>
        <v>2067000</v>
      </c>
      <c r="BH53" s="85">
        <v>51302</v>
      </c>
      <c r="BI53" s="40">
        <v>0</v>
      </c>
      <c r="BJ53" s="87">
        <v>0</v>
      </c>
      <c r="BK53" s="40">
        <f t="shared" si="0"/>
        <v>2426875</v>
      </c>
      <c r="BL53" s="40">
        <f t="shared" si="10"/>
        <v>2426875</v>
      </c>
      <c r="BN53" s="85">
        <v>51302</v>
      </c>
      <c r="BO53" s="40">
        <v>0</v>
      </c>
      <c r="BP53" s="87">
        <v>0</v>
      </c>
      <c r="BQ53" s="40">
        <v>6345062.5</v>
      </c>
      <c r="BR53" s="40">
        <v>0</v>
      </c>
      <c r="BS53" s="40">
        <f t="shared" si="1"/>
        <v>6345062.5</v>
      </c>
      <c r="BT53" s="67"/>
      <c r="BU53" s="85">
        <v>51302</v>
      </c>
      <c r="BW53" s="87"/>
      <c r="BZ53" s="67"/>
      <c r="CA53" s="85">
        <v>51302</v>
      </c>
      <c r="CB53" s="40">
        <v>0</v>
      </c>
      <c r="CC53" s="87">
        <v>0</v>
      </c>
      <c r="CD53" s="40">
        <v>18269725</v>
      </c>
      <c r="CE53" s="40">
        <v>0</v>
      </c>
      <c r="CF53" s="40">
        <f t="shared" si="11"/>
        <v>18269725</v>
      </c>
      <c r="CG53" s="67"/>
      <c r="CH53" s="85">
        <v>51302</v>
      </c>
      <c r="CI53" s="40"/>
      <c r="CJ53" s="87">
        <v>0</v>
      </c>
      <c r="CK53" s="40">
        <v>4176700</v>
      </c>
      <c r="CL53" s="40">
        <f t="shared" si="12"/>
        <v>4176700</v>
      </c>
      <c r="CM53" s="67"/>
      <c r="CN53" s="85">
        <v>51302</v>
      </c>
      <c r="CO53" s="40">
        <v>1147323.1000000001</v>
      </c>
      <c r="CP53" s="87"/>
      <c r="CQ53" s="40">
        <v>0</v>
      </c>
      <c r="CR53" s="40">
        <v>94542676.900000006</v>
      </c>
      <c r="CS53" s="40">
        <f t="shared" si="13"/>
        <v>95690000</v>
      </c>
      <c r="CT53" s="40"/>
      <c r="CU53" s="85">
        <v>51302</v>
      </c>
      <c r="CW53" s="87"/>
      <c r="CZ53" s="40">
        <f t="shared" si="3"/>
        <v>0</v>
      </c>
      <c r="DA53" s="85"/>
      <c r="DB53" s="85">
        <v>51302</v>
      </c>
      <c r="DH53" s="85">
        <v>51302</v>
      </c>
      <c r="DL53" s="40">
        <f t="shared" si="14"/>
        <v>0</v>
      </c>
      <c r="DN53" s="85">
        <v>51302</v>
      </c>
      <c r="DR53" s="40">
        <f t="shared" si="15"/>
        <v>0</v>
      </c>
      <c r="DT53" s="85">
        <v>51302</v>
      </c>
      <c r="DY53" s="40">
        <f t="shared" si="16"/>
        <v>0</v>
      </c>
      <c r="EA53" s="85">
        <v>51302</v>
      </c>
      <c r="EF53" s="40">
        <f t="shared" si="17"/>
        <v>0</v>
      </c>
      <c r="EH53" s="85">
        <v>51302</v>
      </c>
      <c r="EM53" s="40">
        <f t="shared" si="18"/>
        <v>0</v>
      </c>
      <c r="EO53" s="85">
        <v>51302</v>
      </c>
      <c r="ET53" s="40">
        <f t="shared" si="19"/>
        <v>0</v>
      </c>
    </row>
    <row r="54" spans="1:150" x14ac:dyDescent="0.4">
      <c r="F54" s="85">
        <v>51501</v>
      </c>
      <c r="G54" s="85"/>
      <c r="H54" s="85">
        <v>51485</v>
      </c>
      <c r="I54" s="40"/>
      <c r="O54" s="85">
        <v>51501</v>
      </c>
      <c r="P54" s="85"/>
      <c r="Q54" s="85">
        <v>51485</v>
      </c>
      <c r="R54" s="40">
        <f t="shared" si="20"/>
        <v>5842839.3499999996</v>
      </c>
      <c r="S54" s="40">
        <f t="shared" si="21"/>
        <v>41494465</v>
      </c>
      <c r="T54" s="40">
        <f t="shared" si="22"/>
        <v>161867160.65000001</v>
      </c>
      <c r="U54" s="40">
        <f t="shared" si="23"/>
        <v>0</v>
      </c>
      <c r="V54" s="40">
        <f t="shared" si="24"/>
        <v>209204465</v>
      </c>
      <c r="X54" s="85">
        <v>51485</v>
      </c>
      <c r="Y54" s="40"/>
      <c r="Z54" s="101"/>
      <c r="AA54" s="40"/>
      <c r="AB54" s="40"/>
      <c r="AC54" s="40"/>
      <c r="AD54" s="40">
        <f t="shared" si="27"/>
        <v>0</v>
      </c>
      <c r="AF54" s="85">
        <v>51485</v>
      </c>
      <c r="AG54" s="40">
        <v>0</v>
      </c>
      <c r="AH54" s="101"/>
      <c r="AI54" s="40">
        <v>4750125</v>
      </c>
      <c r="AJ54" s="40">
        <v>0</v>
      </c>
      <c r="AK54" s="40"/>
      <c r="AL54" s="40">
        <f t="shared" si="6"/>
        <v>4750125</v>
      </c>
      <c r="AN54" s="85">
        <v>51485</v>
      </c>
      <c r="AO54" s="40">
        <v>2194068.9</v>
      </c>
      <c r="AP54" s="101">
        <v>4.8500000000000001E-2</v>
      </c>
      <c r="AQ54" s="40">
        <v>986602.5</v>
      </c>
      <c r="AR54" s="40">
        <v>2000931.1</v>
      </c>
      <c r="AS54" s="40">
        <f t="shared" si="7"/>
        <v>5181602.5</v>
      </c>
      <c r="AU54" s="85">
        <v>51485</v>
      </c>
      <c r="AV54" s="40">
        <v>0</v>
      </c>
      <c r="AW54" s="40"/>
      <c r="AX54" s="40">
        <v>3425625</v>
      </c>
      <c r="AY54" s="40">
        <v>0</v>
      </c>
      <c r="AZ54" s="40">
        <f t="shared" si="8"/>
        <v>3425625</v>
      </c>
      <c r="BB54" s="85">
        <v>51485</v>
      </c>
      <c r="BC54" s="40">
        <v>1820000</v>
      </c>
      <c r="BD54" s="101">
        <v>0.05</v>
      </c>
      <c r="BE54" s="40">
        <v>1113750</v>
      </c>
      <c r="BF54" s="40">
        <f t="shared" si="9"/>
        <v>2933750</v>
      </c>
      <c r="BH54" s="85">
        <v>51485</v>
      </c>
      <c r="BI54" s="40">
        <v>0</v>
      </c>
      <c r="BJ54" s="87">
        <v>0</v>
      </c>
      <c r="BK54" s="40">
        <f t="shared" si="0"/>
        <v>2426875</v>
      </c>
      <c r="BL54" s="40">
        <f t="shared" si="10"/>
        <v>2426875</v>
      </c>
      <c r="BN54" s="85">
        <v>51485</v>
      </c>
      <c r="BO54" s="40">
        <v>0</v>
      </c>
      <c r="BP54" s="87">
        <v>0</v>
      </c>
      <c r="BQ54" s="40">
        <v>6345062.5</v>
      </c>
      <c r="BR54" s="40">
        <v>0</v>
      </c>
      <c r="BS54" s="40">
        <f t="shared" si="1"/>
        <v>6345062.5</v>
      </c>
      <c r="BT54" s="67"/>
      <c r="BU54" s="85">
        <v>51485</v>
      </c>
      <c r="BW54" s="87"/>
      <c r="BZ54" s="67"/>
      <c r="CA54" s="85">
        <v>51485</v>
      </c>
      <c r="CB54" s="40">
        <v>0</v>
      </c>
      <c r="CC54" s="87">
        <v>0</v>
      </c>
      <c r="CD54" s="40">
        <v>18269725</v>
      </c>
      <c r="CE54" s="40">
        <v>0</v>
      </c>
      <c r="CF54" s="40">
        <f t="shared" si="11"/>
        <v>18269725</v>
      </c>
      <c r="CG54" s="67"/>
      <c r="CH54" s="85">
        <v>51485</v>
      </c>
      <c r="CI54" s="40"/>
      <c r="CJ54" s="87">
        <v>0</v>
      </c>
      <c r="CK54" s="40">
        <v>4176700</v>
      </c>
      <c r="CL54" s="40">
        <f t="shared" si="12"/>
        <v>4176700</v>
      </c>
      <c r="CM54" s="67"/>
      <c r="CN54" s="85">
        <v>51485</v>
      </c>
      <c r="CO54" s="40">
        <v>1828770.45</v>
      </c>
      <c r="CP54" s="87"/>
      <c r="CQ54" s="40">
        <v>0</v>
      </c>
      <c r="CR54" s="40">
        <v>159866229.55000001</v>
      </c>
      <c r="CS54" s="40">
        <f t="shared" si="13"/>
        <v>161695000</v>
      </c>
      <c r="CT54" s="40"/>
      <c r="CU54" s="85">
        <v>51485</v>
      </c>
      <c r="CW54" s="87"/>
      <c r="CZ54" s="40">
        <f t="shared" si="3"/>
        <v>0</v>
      </c>
      <c r="DA54" s="85"/>
      <c r="DB54" s="85">
        <v>51485</v>
      </c>
      <c r="DH54" s="85">
        <v>51485</v>
      </c>
      <c r="DL54" s="40">
        <f t="shared" si="14"/>
        <v>0</v>
      </c>
      <c r="DN54" s="85">
        <v>51485</v>
      </c>
      <c r="DR54" s="40">
        <f t="shared" si="15"/>
        <v>0</v>
      </c>
      <c r="DT54" s="85">
        <v>51485</v>
      </c>
      <c r="DY54" s="40">
        <f t="shared" si="16"/>
        <v>0</v>
      </c>
      <c r="EA54" s="85">
        <v>51485</v>
      </c>
      <c r="EF54" s="40">
        <f t="shared" si="17"/>
        <v>0</v>
      </c>
      <c r="EH54" s="85">
        <v>51485</v>
      </c>
      <c r="EM54" s="40">
        <f t="shared" si="18"/>
        <v>0</v>
      </c>
      <c r="EO54" s="85">
        <v>51485</v>
      </c>
      <c r="ET54" s="40">
        <f t="shared" si="19"/>
        <v>0</v>
      </c>
    </row>
    <row r="55" spans="1:150" x14ac:dyDescent="0.4">
      <c r="F55" s="85">
        <v>51682</v>
      </c>
      <c r="G55" s="85"/>
      <c r="H55" s="85">
        <v>51667</v>
      </c>
      <c r="I55" s="40">
        <f>SUM(Y54:Y55,AG54:AG55,AO54:AO55,AV54:AV55,BC54:BC55,BI54:BI55,BO54:BO55,BV54:BV55,CB54:CB55,CI54:CI55,CO54:CO55,CV54:CV55,DC54:DC55,DI54:DI55,DO54:DO55,DU54:DU55,EB54:EB55,EI54:EI55,EP54:EP55)</f>
        <v>20635397.349999998</v>
      </c>
      <c r="J55" s="40">
        <f>SUM(AA54:AA55,AI54:AI55,AQ54:AQ55,AX54:AX55,BE54:BE55,BK54:BK55,BQ54:BQ55,BX54:BX55,CD54:CD55,CK54:CK55,CQ54:CQ55,CX54:CX55,DE54:DE55,DK54:DK55,DQ54:DQ55,DW54:DW55,ED54:ED55,EK54:EK55,ER54:ER55)</f>
        <v>82841701.25</v>
      </c>
      <c r="K55" s="40">
        <f>SUM(AB54:AB55,AJ54:AJ55,AR54:AR55,AY54:AY55,BR54:BR55,CE54:CE55,CR54:CR55,CY54:CY55,DX54:DX55,EE54:EE55,EL54:EL55,ES54:ES55)</f>
        <v>243764459.25</v>
      </c>
      <c r="L55" s="40">
        <f>SUM(AC54:AC55,AK54:AK55)</f>
        <v>0</v>
      </c>
      <c r="M55" s="40">
        <f>SUM(I55:L55)</f>
        <v>347241557.85000002</v>
      </c>
      <c r="O55" s="85">
        <v>51682</v>
      </c>
      <c r="P55" s="85"/>
      <c r="Q55" s="85">
        <v>51667</v>
      </c>
      <c r="R55" s="40">
        <f t="shared" si="20"/>
        <v>14792558</v>
      </c>
      <c r="S55" s="40">
        <f t="shared" si="21"/>
        <v>41347236.25</v>
      </c>
      <c r="T55" s="40">
        <f t="shared" si="22"/>
        <v>81897298.599999994</v>
      </c>
      <c r="U55" s="40">
        <f t="shared" si="23"/>
        <v>0</v>
      </c>
      <c r="V55" s="40">
        <f t="shared" si="24"/>
        <v>138037092.84999999</v>
      </c>
      <c r="X55" s="85">
        <v>51667</v>
      </c>
      <c r="Y55" s="40"/>
      <c r="Z55" s="101"/>
      <c r="AA55" s="40"/>
      <c r="AB55" s="40"/>
      <c r="AC55" s="40"/>
      <c r="AD55" s="40">
        <f t="shared" si="27"/>
        <v>0</v>
      </c>
      <c r="AF55" s="85">
        <v>51667</v>
      </c>
      <c r="AG55" s="40">
        <v>0</v>
      </c>
      <c r="AH55" s="101"/>
      <c r="AI55" s="40">
        <v>4750125</v>
      </c>
      <c r="AJ55" s="40">
        <v>0</v>
      </c>
      <c r="AK55" s="40"/>
      <c r="AL55" s="40">
        <f t="shared" si="6"/>
        <v>4750125</v>
      </c>
      <c r="AN55" s="85">
        <v>51667</v>
      </c>
      <c r="AO55" s="40">
        <v>0</v>
      </c>
      <c r="AQ55" s="40">
        <v>884873.75</v>
      </c>
      <c r="AR55" s="40">
        <v>0</v>
      </c>
      <c r="AS55" s="40">
        <f t="shared" si="7"/>
        <v>884873.75</v>
      </c>
      <c r="AU55" s="85">
        <v>51667</v>
      </c>
      <c r="AV55" s="40">
        <v>0</v>
      </c>
      <c r="AW55" s="40"/>
      <c r="AX55" s="40">
        <v>3425625</v>
      </c>
      <c r="AY55" s="40">
        <v>0</v>
      </c>
      <c r="AZ55" s="40">
        <f t="shared" si="8"/>
        <v>3425625</v>
      </c>
      <c r="BB55" s="85">
        <v>51667</v>
      </c>
      <c r="BC55" s="40">
        <v>935000</v>
      </c>
      <c r="BD55" s="101">
        <v>0.05</v>
      </c>
      <c r="BE55" s="40">
        <v>1068250</v>
      </c>
      <c r="BF55" s="40">
        <f t="shared" si="9"/>
        <v>2003250</v>
      </c>
      <c r="BH55" s="85">
        <v>51667</v>
      </c>
      <c r="BI55" s="40">
        <v>0</v>
      </c>
      <c r="BJ55" s="87">
        <v>0</v>
      </c>
      <c r="BK55" s="40">
        <f t="shared" si="0"/>
        <v>2426875</v>
      </c>
      <c r="BL55" s="40">
        <f t="shared" si="10"/>
        <v>2426875</v>
      </c>
      <c r="BN55" s="85">
        <v>51667</v>
      </c>
      <c r="BO55" s="40">
        <v>13519105.6</v>
      </c>
      <c r="BP55" s="87">
        <v>5.45E-2</v>
      </c>
      <c r="BQ55" s="40">
        <v>6345062.5</v>
      </c>
      <c r="BR55" s="40">
        <v>50515751</v>
      </c>
      <c r="BS55" s="40">
        <f t="shared" si="1"/>
        <v>70379919.099999994</v>
      </c>
      <c r="BT55" s="67"/>
      <c r="BU55" s="85">
        <v>51667</v>
      </c>
      <c r="BW55" s="87"/>
      <c r="BZ55" s="67"/>
      <c r="CA55" s="85">
        <v>51667</v>
      </c>
      <c r="CB55" s="40">
        <v>0</v>
      </c>
      <c r="CC55" s="87">
        <v>0</v>
      </c>
      <c r="CD55" s="40">
        <v>18269725</v>
      </c>
      <c r="CE55" s="40">
        <v>0</v>
      </c>
      <c r="CF55" s="40">
        <f t="shared" si="11"/>
        <v>18269725</v>
      </c>
      <c r="CG55" s="67"/>
      <c r="CH55" s="85">
        <v>51667</v>
      </c>
      <c r="CI55" s="40"/>
      <c r="CJ55" s="87">
        <v>0</v>
      </c>
      <c r="CK55" s="40">
        <v>4176700</v>
      </c>
      <c r="CL55" s="40">
        <f t="shared" si="12"/>
        <v>4176700</v>
      </c>
      <c r="CM55" s="67"/>
      <c r="CN55" s="85">
        <v>51667</v>
      </c>
      <c r="CO55" s="40">
        <v>338452.4</v>
      </c>
      <c r="CP55" s="87"/>
      <c r="CQ55" s="40">
        <v>0</v>
      </c>
      <c r="CR55" s="40">
        <v>31381547.600000001</v>
      </c>
      <c r="CS55" s="40">
        <f t="shared" si="13"/>
        <v>31720000</v>
      </c>
      <c r="CT55" s="40"/>
      <c r="CU55" s="85">
        <v>51667</v>
      </c>
      <c r="CW55" s="87"/>
      <c r="CZ55" s="40">
        <f t="shared" si="3"/>
        <v>0</v>
      </c>
      <c r="DA55" s="85"/>
      <c r="DB55" s="85">
        <v>51667</v>
      </c>
      <c r="DH55" s="85">
        <v>51667</v>
      </c>
      <c r="DL55" s="40">
        <f t="shared" si="14"/>
        <v>0</v>
      </c>
      <c r="DN55" s="85">
        <v>51667</v>
      </c>
      <c r="DR55" s="40">
        <f t="shared" si="15"/>
        <v>0</v>
      </c>
      <c r="DT55" s="85">
        <v>51667</v>
      </c>
      <c r="DY55" s="40">
        <f t="shared" si="16"/>
        <v>0</v>
      </c>
      <c r="EA55" s="85">
        <v>51667</v>
      </c>
      <c r="EF55" s="40">
        <f t="shared" si="17"/>
        <v>0</v>
      </c>
      <c r="EH55" s="85">
        <v>51667</v>
      </c>
      <c r="EM55" s="40">
        <f t="shared" si="18"/>
        <v>0</v>
      </c>
      <c r="EO55" s="85">
        <v>51667</v>
      </c>
      <c r="ET55" s="40">
        <f t="shared" si="19"/>
        <v>0</v>
      </c>
    </row>
    <row r="56" spans="1:150" x14ac:dyDescent="0.4">
      <c r="F56" s="85">
        <v>51866</v>
      </c>
      <c r="G56" s="85"/>
      <c r="H56" s="85">
        <v>51850</v>
      </c>
      <c r="I56" s="40"/>
      <c r="O56" s="85">
        <v>51866</v>
      </c>
      <c r="P56" s="85"/>
      <c r="Q56" s="85">
        <v>51850</v>
      </c>
      <c r="R56" s="40">
        <f t="shared" si="20"/>
        <v>123051135.40000001</v>
      </c>
      <c r="S56" s="40">
        <f t="shared" si="21"/>
        <v>41323861.25</v>
      </c>
      <c r="T56" s="40">
        <f t="shared" si="22"/>
        <v>34863864.600000001</v>
      </c>
      <c r="U56" s="40">
        <f t="shared" si="23"/>
        <v>0</v>
      </c>
      <c r="V56" s="40">
        <f t="shared" si="24"/>
        <v>199238861.25</v>
      </c>
      <c r="X56" s="85">
        <v>51850</v>
      </c>
      <c r="Y56" s="40"/>
      <c r="Z56" s="101"/>
      <c r="AA56" s="40"/>
      <c r="AB56" s="40"/>
      <c r="AC56" s="40"/>
      <c r="AD56" s="40">
        <f t="shared" si="27"/>
        <v>0</v>
      </c>
      <c r="AF56" s="85">
        <v>51850</v>
      </c>
      <c r="AG56" s="40">
        <v>0</v>
      </c>
      <c r="AH56" s="101"/>
      <c r="AI56" s="40">
        <v>4750125</v>
      </c>
      <c r="AJ56" s="40">
        <v>0</v>
      </c>
      <c r="AK56" s="40"/>
      <c r="AL56" s="40">
        <f t="shared" si="6"/>
        <v>4750125</v>
      </c>
      <c r="AN56" s="85">
        <v>51850</v>
      </c>
      <c r="AO56" s="40">
        <v>2306518.2000000002</v>
      </c>
      <c r="AP56" s="101">
        <v>4.8500000000000001E-2</v>
      </c>
      <c r="AQ56" s="40">
        <v>884873.75</v>
      </c>
      <c r="AR56" s="40">
        <v>2103481.7999999998</v>
      </c>
      <c r="AS56" s="40">
        <f t="shared" si="7"/>
        <v>5294873.75</v>
      </c>
      <c r="AU56" s="85">
        <v>51850</v>
      </c>
      <c r="AV56" s="40">
        <v>0</v>
      </c>
      <c r="AW56" s="40"/>
      <c r="AX56" s="40">
        <v>3425625</v>
      </c>
      <c r="AY56" s="40">
        <v>0</v>
      </c>
      <c r="AZ56" s="40">
        <f t="shared" si="8"/>
        <v>3425625</v>
      </c>
      <c r="BB56" s="85">
        <v>51850</v>
      </c>
      <c r="BC56" s="40">
        <v>2910000</v>
      </c>
      <c r="BD56" s="101">
        <v>0.05</v>
      </c>
      <c r="BE56" s="40">
        <v>1044875</v>
      </c>
      <c r="BF56" s="40">
        <f t="shared" si="9"/>
        <v>3954875</v>
      </c>
      <c r="BH56" s="85">
        <v>51850</v>
      </c>
      <c r="BI56" s="40">
        <v>48535000</v>
      </c>
      <c r="BJ56" s="87">
        <v>0.05</v>
      </c>
      <c r="BK56" s="40">
        <f t="shared" si="0"/>
        <v>2426875</v>
      </c>
      <c r="BL56" s="40">
        <f t="shared" si="10"/>
        <v>50961875</v>
      </c>
      <c r="BN56" s="85">
        <v>51850</v>
      </c>
      <c r="BO56" s="40">
        <v>69299617.200000003</v>
      </c>
      <c r="BP56" s="123" t="s">
        <v>107</v>
      </c>
      <c r="BQ56" s="40">
        <v>6345062.5</v>
      </c>
      <c r="BR56" s="40">
        <v>32760382.800000001</v>
      </c>
      <c r="BS56" s="40">
        <f t="shared" si="1"/>
        <v>108405062.5</v>
      </c>
      <c r="BT56" s="67"/>
      <c r="BU56" s="85">
        <v>51850</v>
      </c>
      <c r="BW56" s="87"/>
      <c r="BZ56" s="67"/>
      <c r="CA56" s="85">
        <v>51850</v>
      </c>
      <c r="CB56" s="40">
        <v>0</v>
      </c>
      <c r="CC56" s="87">
        <v>0</v>
      </c>
      <c r="CD56" s="40">
        <v>18269725</v>
      </c>
      <c r="CE56" s="40">
        <v>0</v>
      </c>
      <c r="CF56" s="40">
        <f t="shared" si="11"/>
        <v>18269725</v>
      </c>
      <c r="CG56" s="67"/>
      <c r="CH56" s="85">
        <v>51850</v>
      </c>
      <c r="CI56" s="40"/>
      <c r="CJ56" s="87">
        <v>0</v>
      </c>
      <c r="CK56" s="40">
        <v>4176700</v>
      </c>
      <c r="CL56" s="40">
        <f t="shared" si="12"/>
        <v>4176700</v>
      </c>
      <c r="CM56" s="67"/>
      <c r="CN56" s="85">
        <v>51850</v>
      </c>
      <c r="CO56" s="40"/>
      <c r="CP56" s="87"/>
      <c r="CQ56" s="40"/>
      <c r="CR56" s="40"/>
      <c r="CS56" s="40">
        <f t="shared" si="13"/>
        <v>0</v>
      </c>
      <c r="CT56" s="40"/>
      <c r="CU56" s="85">
        <v>51850</v>
      </c>
      <c r="CW56" s="87"/>
      <c r="CZ56" s="40">
        <f t="shared" si="3"/>
        <v>0</v>
      </c>
      <c r="DA56" s="85"/>
      <c r="DB56" s="85">
        <v>51850</v>
      </c>
      <c r="DH56" s="85">
        <v>51850</v>
      </c>
      <c r="DL56" s="40">
        <f t="shared" si="14"/>
        <v>0</v>
      </c>
      <c r="DN56" s="85">
        <v>51850</v>
      </c>
      <c r="DR56" s="40">
        <f t="shared" si="15"/>
        <v>0</v>
      </c>
      <c r="DT56" s="85">
        <v>51850</v>
      </c>
      <c r="DY56" s="40">
        <f t="shared" si="16"/>
        <v>0</v>
      </c>
      <c r="EA56" s="85">
        <v>51850</v>
      </c>
      <c r="EF56" s="40">
        <f t="shared" si="17"/>
        <v>0</v>
      </c>
      <c r="EH56" s="85">
        <v>51850</v>
      </c>
      <c r="EM56" s="40">
        <f t="shared" si="18"/>
        <v>0</v>
      </c>
      <c r="EO56" s="85">
        <v>51850</v>
      </c>
      <c r="ET56" s="40">
        <f t="shared" si="19"/>
        <v>0</v>
      </c>
    </row>
    <row r="57" spans="1:150" x14ac:dyDescent="0.4">
      <c r="F57" s="85">
        <v>52047</v>
      </c>
      <c r="G57" s="85"/>
      <c r="H57" s="85">
        <v>52032</v>
      </c>
      <c r="I57" s="40">
        <f>SUM(Y56:Y57,AG56:AG57,AO56:AO57,AV56:AV57,BC56:BC57,BI56:BI57,BO56:BO57,BV56:BV57,CB56:CB57,CI56:CI57,CO56:CO57,CV56:CV57,DC56:DC57,DI56:DI57,DO56:DO57,DU56:DU57,EB56:EB57,EI56:EI57,EP56:EP57)</f>
        <v>232416135.40000001</v>
      </c>
      <c r="J57" s="40">
        <f>SUM(AA56:AA57,AI56:AI57,AQ56:AQ57,AX56:AX57,BE56:BE57,BK56:BK57,BQ56:BQ57,BX56:BX57,CD56:CD57,CK56:CK57,CQ56:CQ57,CX56:CX57,DE56:DE57,DK56:DK57,DQ56:DQ57,DW56:DW57,ED56:ED57,EK56:EK57,ER56:ER57)</f>
        <v>79962123.75</v>
      </c>
      <c r="K57" s="40">
        <f>SUM(AB56:AB57,AJ56:AJ57,AR56:AR57,AY56:AY57,BR56:BR57,CE56:CE57,CR56:CR57,CY56:CY57,DX56:DX57,EE56:EE57,EL56:EL57,ES56:ES57)</f>
        <v>34863864.600000001</v>
      </c>
      <c r="L57" s="40">
        <f>SUM(AC56:AC57,AK56:AK57)</f>
        <v>0</v>
      </c>
      <c r="M57" s="40">
        <f>SUM(I57:L57)</f>
        <v>347242123.75</v>
      </c>
      <c r="O57" s="85">
        <v>52047</v>
      </c>
      <c r="P57" s="85"/>
      <c r="Q57" s="85">
        <v>52032</v>
      </c>
      <c r="R57" s="40">
        <f t="shared" si="20"/>
        <v>109365000</v>
      </c>
      <c r="S57" s="40">
        <f t="shared" si="21"/>
        <v>38638262.5</v>
      </c>
      <c r="T57" s="40">
        <f t="shared" si="22"/>
        <v>0</v>
      </c>
      <c r="U57" s="40">
        <f t="shared" si="23"/>
        <v>0</v>
      </c>
      <c r="V57" s="40">
        <f t="shared" si="24"/>
        <v>148003262.5</v>
      </c>
      <c r="X57" s="85">
        <v>52032</v>
      </c>
      <c r="Y57" s="40"/>
      <c r="Z57" s="101"/>
      <c r="AA57" s="40"/>
      <c r="AB57" s="40"/>
      <c r="AC57" s="40"/>
      <c r="AD57" s="40">
        <f t="shared" si="27"/>
        <v>0</v>
      </c>
      <c r="AF57" s="85">
        <v>52032</v>
      </c>
      <c r="AG57" s="40">
        <v>0</v>
      </c>
      <c r="AH57" s="101"/>
      <c r="AI57" s="40">
        <v>4750125</v>
      </c>
      <c r="AJ57" s="40">
        <v>0</v>
      </c>
      <c r="AK57" s="40"/>
      <c r="AL57" s="40">
        <f t="shared" si="6"/>
        <v>4750125</v>
      </c>
      <c r="AN57" s="85">
        <v>52032</v>
      </c>
      <c r="AO57" s="40">
        <v>0</v>
      </c>
      <c r="AQ57" s="40">
        <v>777931.25</v>
      </c>
      <c r="AR57" s="40">
        <v>0</v>
      </c>
      <c r="AS57" s="40">
        <f t="shared" si="7"/>
        <v>777931.25</v>
      </c>
      <c r="AU57" s="85">
        <v>52032</v>
      </c>
      <c r="AV57" s="40">
        <v>0</v>
      </c>
      <c r="AW57" s="40"/>
      <c r="AX57" s="40">
        <v>3425625</v>
      </c>
      <c r="AY57" s="40">
        <v>0</v>
      </c>
      <c r="AZ57" s="40">
        <f t="shared" si="8"/>
        <v>3425625</v>
      </c>
      <c r="BB57" s="85">
        <v>52032</v>
      </c>
      <c r="BC57" s="40">
        <v>0</v>
      </c>
      <c r="BD57" s="40"/>
      <c r="BE57" s="40">
        <v>972125</v>
      </c>
      <c r="BF57" s="40">
        <f t="shared" si="9"/>
        <v>972125</v>
      </c>
      <c r="BH57" s="85">
        <v>52032</v>
      </c>
      <c r="BI57" s="40">
        <v>48540000</v>
      </c>
      <c r="BJ57" s="87">
        <v>0.05</v>
      </c>
      <c r="BK57" s="40">
        <f>BI57*BJ57/2+BK58</f>
        <v>1213500</v>
      </c>
      <c r="BL57" s="40">
        <f t="shared" si="10"/>
        <v>49753500</v>
      </c>
      <c r="BN57" s="85">
        <v>52032</v>
      </c>
      <c r="BO57" s="40">
        <v>60825000</v>
      </c>
      <c r="BP57" s="87">
        <v>4.2500000000000003E-2</v>
      </c>
      <c r="BQ57" s="40">
        <v>5052531.25</v>
      </c>
      <c r="BR57" s="40">
        <v>0</v>
      </c>
      <c r="BS57" s="40">
        <f t="shared" si="1"/>
        <v>65877531.25</v>
      </c>
      <c r="BT57" s="67"/>
      <c r="BU57" s="85">
        <v>52032</v>
      </c>
      <c r="BW57" s="87"/>
      <c r="BZ57" s="67"/>
      <c r="CA57" s="85">
        <v>52032</v>
      </c>
      <c r="CB57" s="40">
        <v>0</v>
      </c>
      <c r="CC57" s="87">
        <v>0</v>
      </c>
      <c r="CD57" s="40">
        <v>18269725</v>
      </c>
      <c r="CE57" s="40">
        <v>0</v>
      </c>
      <c r="CF57" s="40">
        <f t="shared" si="11"/>
        <v>18269725</v>
      </c>
      <c r="CG57" s="67"/>
      <c r="CH57" s="85">
        <v>52032</v>
      </c>
      <c r="CI57" s="40"/>
      <c r="CJ57" s="87">
        <v>0</v>
      </c>
      <c r="CK57" s="40">
        <v>4176700</v>
      </c>
      <c r="CL57" s="40">
        <f t="shared" si="12"/>
        <v>4176700</v>
      </c>
      <c r="CM57" s="67"/>
      <c r="CN57" s="85">
        <v>52032</v>
      </c>
      <c r="CO57" s="40"/>
      <c r="CP57" s="87"/>
      <c r="CQ57" s="40"/>
      <c r="CR57" s="40"/>
      <c r="CS57" s="40">
        <f t="shared" si="13"/>
        <v>0</v>
      </c>
      <c r="CT57" s="40"/>
      <c r="CU57" s="85">
        <v>52032</v>
      </c>
      <c r="CW57" s="87"/>
      <c r="CZ57" s="40">
        <f t="shared" si="3"/>
        <v>0</v>
      </c>
      <c r="DA57" s="85"/>
      <c r="DB57" s="85">
        <v>52032</v>
      </c>
      <c r="DH57" s="85">
        <v>52032</v>
      </c>
      <c r="DL57" s="40">
        <f t="shared" si="14"/>
        <v>0</v>
      </c>
      <c r="DN57" s="85">
        <v>52032</v>
      </c>
      <c r="DR57" s="40">
        <f t="shared" si="15"/>
        <v>0</v>
      </c>
      <c r="DT57" s="85">
        <v>52032</v>
      </c>
      <c r="DY57" s="40">
        <f t="shared" si="16"/>
        <v>0</v>
      </c>
      <c r="EA57" s="85">
        <v>52032</v>
      </c>
      <c r="EF57" s="40">
        <f t="shared" si="17"/>
        <v>0</v>
      </c>
      <c r="EH57" s="85">
        <v>52032</v>
      </c>
      <c r="EM57" s="40">
        <f t="shared" si="18"/>
        <v>0</v>
      </c>
      <c r="EO57" s="85">
        <v>52032</v>
      </c>
      <c r="ET57" s="40">
        <f t="shared" si="19"/>
        <v>0</v>
      </c>
    </row>
    <row r="58" spans="1:150" x14ac:dyDescent="0.4">
      <c r="F58" s="85">
        <v>52231</v>
      </c>
      <c r="G58" s="85"/>
      <c r="H58" s="85">
        <v>52215</v>
      </c>
      <c r="I58" s="40"/>
      <c r="O58" s="85">
        <v>52231</v>
      </c>
      <c r="P58" s="85"/>
      <c r="Q58" s="85">
        <v>52215</v>
      </c>
      <c r="R58" s="40">
        <f t="shared" si="20"/>
        <v>5488967.5</v>
      </c>
      <c r="S58" s="40">
        <f t="shared" si="21"/>
        <v>36132231.25</v>
      </c>
      <c r="T58" s="40">
        <f t="shared" si="22"/>
        <v>2206032.5</v>
      </c>
      <c r="U58" s="40">
        <f t="shared" si="23"/>
        <v>0</v>
      </c>
      <c r="V58" s="40">
        <f t="shared" si="24"/>
        <v>43827231.25</v>
      </c>
      <c r="X58" s="85">
        <v>52215</v>
      </c>
      <c r="Y58" s="40"/>
      <c r="Z58" s="101"/>
      <c r="AA58" s="40"/>
      <c r="AB58" s="40"/>
      <c r="AC58" s="40"/>
      <c r="AD58" s="40">
        <f t="shared" si="27"/>
        <v>0</v>
      </c>
      <c r="AF58" s="85">
        <v>52215</v>
      </c>
      <c r="AG58" s="40">
        <v>0</v>
      </c>
      <c r="AH58" s="101"/>
      <c r="AI58" s="40">
        <v>4750125</v>
      </c>
      <c r="AJ58" s="40">
        <v>0</v>
      </c>
      <c r="AK58" s="40"/>
      <c r="AL58" s="40">
        <f t="shared" si="6"/>
        <v>4750125</v>
      </c>
      <c r="AN58" s="85">
        <v>52215</v>
      </c>
      <c r="AO58" s="40">
        <v>2418967.5</v>
      </c>
      <c r="AP58" s="101">
        <v>4.8500000000000001E-2</v>
      </c>
      <c r="AQ58" s="40">
        <v>777931.25</v>
      </c>
      <c r="AR58" s="40">
        <v>2206032.5</v>
      </c>
      <c r="AS58" s="40">
        <f t="shared" si="7"/>
        <v>5402931.25</v>
      </c>
      <c r="AU58" s="85">
        <v>52215</v>
      </c>
      <c r="AV58" s="40">
        <v>0</v>
      </c>
      <c r="AW58" s="40"/>
      <c r="AX58" s="40">
        <v>3425625</v>
      </c>
      <c r="AY58" s="40">
        <v>0</v>
      </c>
      <c r="AZ58" s="40">
        <f t="shared" si="8"/>
        <v>3425625</v>
      </c>
      <c r="BB58" s="85">
        <v>52215</v>
      </c>
      <c r="BC58" s="40">
        <v>3070000</v>
      </c>
      <c r="BD58" s="101">
        <v>0.05</v>
      </c>
      <c r="BE58" s="40">
        <v>972125</v>
      </c>
      <c r="BF58" s="40">
        <f t="shared" si="9"/>
        <v>4042125</v>
      </c>
      <c r="BH58" s="85">
        <v>52215</v>
      </c>
      <c r="BL58" s="40">
        <f t="shared" si="10"/>
        <v>0</v>
      </c>
      <c r="BN58" s="85">
        <v>52215</v>
      </c>
      <c r="BO58" s="40">
        <v>0</v>
      </c>
      <c r="BP58" s="87">
        <v>0</v>
      </c>
      <c r="BQ58" s="40">
        <v>3760000</v>
      </c>
      <c r="BR58" s="40">
        <v>0</v>
      </c>
      <c r="BS58" s="40">
        <f t="shared" si="1"/>
        <v>3760000</v>
      </c>
      <c r="BT58" s="67"/>
      <c r="BU58" s="85">
        <v>52215</v>
      </c>
      <c r="BW58" s="87"/>
      <c r="BZ58" s="67"/>
      <c r="CA58" s="85">
        <v>52215</v>
      </c>
      <c r="CB58" s="40">
        <v>0</v>
      </c>
      <c r="CC58" s="87">
        <v>0</v>
      </c>
      <c r="CD58" s="40">
        <v>18269725</v>
      </c>
      <c r="CE58" s="40">
        <v>0</v>
      </c>
      <c r="CF58" s="40">
        <f t="shared" si="11"/>
        <v>18269725</v>
      </c>
      <c r="CG58" s="67"/>
      <c r="CH58" s="85">
        <v>52215</v>
      </c>
      <c r="CI58" s="40"/>
      <c r="CJ58" s="87">
        <v>0</v>
      </c>
      <c r="CK58" s="40">
        <v>4176700</v>
      </c>
      <c r="CL58" s="40">
        <f t="shared" si="12"/>
        <v>4176700</v>
      </c>
      <c r="CM58" s="67"/>
      <c r="CN58" s="85">
        <v>52215</v>
      </c>
      <c r="CO58" s="40"/>
      <c r="CP58" s="87"/>
      <c r="CQ58" s="40"/>
      <c r="CR58" s="40"/>
      <c r="CS58" s="40">
        <f t="shared" si="13"/>
        <v>0</v>
      </c>
      <c r="CT58" s="40"/>
      <c r="CU58" s="85">
        <v>52215</v>
      </c>
      <c r="CW58" s="87"/>
      <c r="CZ58" s="40">
        <f t="shared" si="3"/>
        <v>0</v>
      </c>
      <c r="DA58" s="85"/>
      <c r="DB58" s="85">
        <v>52215</v>
      </c>
      <c r="DH58" s="85">
        <v>52215</v>
      </c>
      <c r="DL58" s="40">
        <f t="shared" si="14"/>
        <v>0</v>
      </c>
      <c r="DN58" s="85">
        <v>52215</v>
      </c>
      <c r="DR58" s="40">
        <f t="shared" si="15"/>
        <v>0</v>
      </c>
      <c r="DT58" s="85">
        <v>52215</v>
      </c>
      <c r="DY58" s="40">
        <f t="shared" si="16"/>
        <v>0</v>
      </c>
      <c r="EA58" s="85">
        <v>52215</v>
      </c>
      <c r="EF58" s="40">
        <f t="shared" si="17"/>
        <v>0</v>
      </c>
      <c r="EH58" s="85">
        <v>52215</v>
      </c>
      <c r="EM58" s="40">
        <f t="shared" si="18"/>
        <v>0</v>
      </c>
      <c r="EO58" s="85">
        <v>52215</v>
      </c>
      <c r="ET58" s="40">
        <f t="shared" si="19"/>
        <v>0</v>
      </c>
    </row>
    <row r="59" spans="1:150" x14ac:dyDescent="0.4">
      <c r="F59" s="85">
        <v>52412</v>
      </c>
      <c r="G59" s="85"/>
      <c r="H59" s="85">
        <v>52397</v>
      </c>
      <c r="I59" s="40">
        <f>SUM(Y58:Y59,AG58:AG59,AO58:AO59,AV58:AV59,BC58:BC59,BI58:BI59,BO58:BO59,BV58:BV59,CB58:CB59,CI58:CI59,CO58:CO59,CV58:CV59,DC58:DC59,DI58:DI59,DO58:DO59,DU58:DU59,EB58:EB59,EI58:EI59,EP58:EP59)</f>
        <v>41557297</v>
      </c>
      <c r="J59" s="40">
        <f>SUM(AA58:AA59,AI58:AI59,AQ58:AQ59,AX58:AX59,BE58:BE59,BK58:BK59,BQ58:BQ59,BX58:BX59,CD58:CD59,CK58:CK59,CQ58:CQ59,CX58:CX59,DE58:DE59,DK58:DK59,DQ58:DQ59,DW58:DW59,ED58:ED59,EK58:EK59,ER58:ER59)</f>
        <v>72075556.25</v>
      </c>
      <c r="K59" s="40">
        <f>SUM(AB58:AB59,AJ58:AJ59,AR58:AR59,AY58:AY59,BR58:BR59,CE58:CE59,CR58:CR59,CY58:CY59,DX58:DX59,EE58:EE59,EL58:EL59,ES58:ES59)</f>
        <v>233607703</v>
      </c>
      <c r="L59" s="40">
        <f>SUM(AC58:AC59,AK58:AK59)</f>
        <v>0</v>
      </c>
      <c r="M59" s="40">
        <f>SUM(I59:L59)</f>
        <v>347240556.25</v>
      </c>
      <c r="O59" s="85">
        <v>52412</v>
      </c>
      <c r="P59" s="85"/>
      <c r="Q59" s="85">
        <v>52397</v>
      </c>
      <c r="R59" s="40">
        <f t="shared" si="20"/>
        <v>36068329.5</v>
      </c>
      <c r="S59" s="40">
        <f t="shared" si="21"/>
        <v>35943325</v>
      </c>
      <c r="T59" s="40">
        <f t="shared" si="22"/>
        <v>231401670.5</v>
      </c>
      <c r="U59" s="40">
        <f t="shared" si="23"/>
        <v>0</v>
      </c>
      <c r="V59" s="40">
        <f t="shared" si="24"/>
        <v>303413325</v>
      </c>
      <c r="X59" s="85">
        <v>52397</v>
      </c>
      <c r="Y59" s="40"/>
      <c r="Z59" s="101"/>
      <c r="AA59" s="40"/>
      <c r="AB59" s="40"/>
      <c r="AC59" s="40"/>
      <c r="AD59" s="40">
        <f t="shared" si="27"/>
        <v>0</v>
      </c>
      <c r="AF59" s="85">
        <v>52397</v>
      </c>
      <c r="AG59" s="40">
        <v>0</v>
      </c>
      <c r="AH59" s="101"/>
      <c r="AI59" s="40">
        <v>4750125</v>
      </c>
      <c r="AJ59" s="40">
        <v>0</v>
      </c>
      <c r="AK59" s="40"/>
      <c r="AL59" s="40">
        <f t="shared" si="6"/>
        <v>4750125</v>
      </c>
      <c r="AN59" s="85">
        <v>52397</v>
      </c>
      <c r="AO59" s="40">
        <v>0</v>
      </c>
      <c r="AQ59" s="40">
        <v>665775</v>
      </c>
      <c r="AR59" s="40">
        <v>0</v>
      </c>
      <c r="AS59" s="40">
        <f t="shared" si="7"/>
        <v>665775</v>
      </c>
      <c r="AU59" s="85">
        <v>52397</v>
      </c>
      <c r="AV59" s="40">
        <v>0</v>
      </c>
      <c r="AW59" s="40"/>
      <c r="AX59" s="40">
        <v>3425625</v>
      </c>
      <c r="AY59" s="40">
        <v>0</v>
      </c>
      <c r="AZ59" s="40">
        <f t="shared" si="8"/>
        <v>3425625</v>
      </c>
      <c r="BB59" s="85">
        <v>52397</v>
      </c>
      <c r="BC59" s="40">
        <v>0</v>
      </c>
      <c r="BD59" s="40"/>
      <c r="BE59" s="40">
        <v>895375</v>
      </c>
      <c r="BF59" s="40">
        <f t="shared" si="9"/>
        <v>895375</v>
      </c>
      <c r="BH59" s="85">
        <v>52397</v>
      </c>
      <c r="BL59" s="40">
        <f t="shared" si="10"/>
        <v>0</v>
      </c>
      <c r="BN59" s="85">
        <v>52397</v>
      </c>
      <c r="BO59" s="40">
        <v>0</v>
      </c>
      <c r="BP59" s="87">
        <v>0</v>
      </c>
      <c r="BQ59" s="40">
        <v>3760000</v>
      </c>
      <c r="BR59" s="40">
        <v>0</v>
      </c>
      <c r="BS59" s="40">
        <f t="shared" si="1"/>
        <v>3760000</v>
      </c>
      <c r="BT59" s="67"/>
      <c r="BU59" s="85">
        <v>52397</v>
      </c>
      <c r="BW59" s="87"/>
      <c r="BZ59" s="67"/>
      <c r="CA59" s="85">
        <v>52397</v>
      </c>
      <c r="CB59" s="40">
        <v>36068329.5</v>
      </c>
      <c r="CC59" s="87">
        <v>6.2300000000000001E-2</v>
      </c>
      <c r="CD59" s="40">
        <v>18269725</v>
      </c>
      <c r="CE59" s="40">
        <v>231401670.5</v>
      </c>
      <c r="CF59" s="40">
        <f t="shared" si="11"/>
        <v>285739725</v>
      </c>
      <c r="CG59" s="67"/>
      <c r="CH59" s="85">
        <v>52397</v>
      </c>
      <c r="CI59" s="40"/>
      <c r="CJ59" s="87">
        <v>0</v>
      </c>
      <c r="CK59" s="40">
        <v>4176700</v>
      </c>
      <c r="CL59" s="40">
        <f t="shared" si="12"/>
        <v>4176700</v>
      </c>
      <c r="CM59" s="67"/>
      <c r="CN59" s="85">
        <v>52397</v>
      </c>
      <c r="CO59" s="40"/>
      <c r="CP59" s="87"/>
      <c r="CQ59" s="40"/>
      <c r="CR59" s="40"/>
      <c r="CS59" s="40">
        <f t="shared" si="13"/>
        <v>0</v>
      </c>
      <c r="CT59" s="40"/>
      <c r="CU59" s="85">
        <v>52397</v>
      </c>
      <c r="CW59" s="87"/>
      <c r="CZ59" s="40">
        <f t="shared" si="3"/>
        <v>0</v>
      </c>
      <c r="DA59" s="85"/>
      <c r="DB59" s="85">
        <v>52397</v>
      </c>
      <c r="DH59" s="85">
        <v>52397</v>
      </c>
      <c r="DL59" s="40">
        <f t="shared" si="14"/>
        <v>0</v>
      </c>
      <c r="DN59" s="85">
        <v>52397</v>
      </c>
      <c r="DR59" s="40">
        <f t="shared" si="15"/>
        <v>0</v>
      </c>
      <c r="DT59" s="85">
        <v>52397</v>
      </c>
      <c r="DY59" s="40">
        <f t="shared" si="16"/>
        <v>0</v>
      </c>
      <c r="EA59" s="85">
        <v>52397</v>
      </c>
      <c r="EF59" s="40">
        <f t="shared" si="17"/>
        <v>0</v>
      </c>
      <c r="EH59" s="85">
        <v>52397</v>
      </c>
      <c r="EM59" s="40">
        <f t="shared" si="18"/>
        <v>0</v>
      </c>
      <c r="EO59" s="85">
        <v>52397</v>
      </c>
      <c r="ET59" s="40">
        <f t="shared" si="19"/>
        <v>0</v>
      </c>
    </row>
    <row r="60" spans="1:150" x14ac:dyDescent="0.4">
      <c r="F60" s="85">
        <v>52596</v>
      </c>
      <c r="G60" s="85"/>
      <c r="H60" s="85">
        <v>52580</v>
      </c>
      <c r="I60" s="40"/>
      <c r="O60" s="85">
        <v>52596</v>
      </c>
      <c r="P60" s="85"/>
      <c r="Q60" s="85">
        <v>52580</v>
      </c>
      <c r="R60" s="40">
        <f t="shared" si="20"/>
        <v>5733537.5999999996</v>
      </c>
      <c r="S60" s="40">
        <f t="shared" si="21"/>
        <v>35943325</v>
      </c>
      <c r="T60" s="40">
        <f t="shared" si="22"/>
        <v>2351462.3999999999</v>
      </c>
      <c r="U60" s="40">
        <f t="shared" si="23"/>
        <v>0</v>
      </c>
      <c r="V60" s="40">
        <f t="shared" si="24"/>
        <v>44028325</v>
      </c>
      <c r="X60" s="85">
        <v>52580</v>
      </c>
      <c r="Y60" s="40"/>
      <c r="Z60" s="101"/>
      <c r="AA60" s="40"/>
      <c r="AB60" s="40"/>
      <c r="AC60" s="40"/>
      <c r="AD60" s="40">
        <f t="shared" si="27"/>
        <v>0</v>
      </c>
      <c r="AF60" s="85">
        <v>52580</v>
      </c>
      <c r="AG60" s="40">
        <v>0</v>
      </c>
      <c r="AH60" s="101"/>
      <c r="AI60" s="40">
        <v>4750125</v>
      </c>
      <c r="AJ60" s="40">
        <v>0</v>
      </c>
      <c r="AK60" s="40"/>
      <c r="AL60" s="40">
        <f t="shared" si="6"/>
        <v>4750125</v>
      </c>
      <c r="AN60" s="85">
        <v>52580</v>
      </c>
      <c r="AO60" s="40">
        <v>2508537.6</v>
      </c>
      <c r="AP60" s="101">
        <v>4.9500000000000002E-2</v>
      </c>
      <c r="AQ60" s="40">
        <v>665775</v>
      </c>
      <c r="AR60" s="40">
        <v>2351462.3999999999</v>
      </c>
      <c r="AS60" s="40">
        <f t="shared" si="7"/>
        <v>5525775</v>
      </c>
      <c r="AU60" s="85">
        <v>52580</v>
      </c>
      <c r="AV60" s="40">
        <v>0</v>
      </c>
      <c r="AW60" s="40"/>
      <c r="AX60" s="40">
        <v>3425625</v>
      </c>
      <c r="AY60" s="40">
        <v>0</v>
      </c>
      <c r="AZ60" s="40">
        <f t="shared" si="8"/>
        <v>3425625</v>
      </c>
      <c r="BB60" s="85">
        <v>52580</v>
      </c>
      <c r="BC60" s="40">
        <v>3225000</v>
      </c>
      <c r="BD60" s="101">
        <v>0.05</v>
      </c>
      <c r="BE60" s="40">
        <v>895375</v>
      </c>
      <c r="BF60" s="40">
        <f t="shared" si="9"/>
        <v>4120375</v>
      </c>
      <c r="BH60" s="85">
        <v>52580</v>
      </c>
      <c r="BL60" s="40">
        <f t="shared" si="10"/>
        <v>0</v>
      </c>
      <c r="BN60" s="85">
        <v>52580</v>
      </c>
      <c r="BO60" s="40">
        <v>0</v>
      </c>
      <c r="BP60" s="87">
        <v>0</v>
      </c>
      <c r="BQ60" s="40">
        <v>3760000</v>
      </c>
      <c r="BR60" s="40">
        <v>0</v>
      </c>
      <c r="BS60" s="40">
        <f t="shared" si="1"/>
        <v>3760000</v>
      </c>
      <c r="BT60" s="67"/>
      <c r="BU60" s="85">
        <v>52580</v>
      </c>
      <c r="BW60" s="87"/>
      <c r="BZ60" s="67"/>
      <c r="CA60" s="85">
        <v>52580</v>
      </c>
      <c r="CB60" s="40">
        <v>0</v>
      </c>
      <c r="CC60" s="87">
        <v>0</v>
      </c>
      <c r="CD60" s="40">
        <v>18269725</v>
      </c>
      <c r="CE60" s="40">
        <v>0</v>
      </c>
      <c r="CF60" s="40">
        <f t="shared" si="11"/>
        <v>18269725</v>
      </c>
      <c r="CG60" s="67"/>
      <c r="CH60" s="85">
        <v>52580</v>
      </c>
      <c r="CI60" s="40"/>
      <c r="CJ60" s="87">
        <v>0</v>
      </c>
      <c r="CK60" s="40">
        <v>4176700</v>
      </c>
      <c r="CL60" s="40">
        <f t="shared" si="12"/>
        <v>4176700</v>
      </c>
      <c r="CM60" s="67"/>
      <c r="CN60" s="85">
        <v>52580</v>
      </c>
      <c r="CO60" s="40"/>
      <c r="CP60" s="87"/>
      <c r="CQ60" s="40"/>
      <c r="CR60" s="40"/>
      <c r="CS60" s="40">
        <f t="shared" si="13"/>
        <v>0</v>
      </c>
      <c r="CT60" s="40"/>
      <c r="CU60" s="85">
        <v>52580</v>
      </c>
      <c r="CW60" s="87"/>
      <c r="CZ60" s="40">
        <f t="shared" si="3"/>
        <v>0</v>
      </c>
      <c r="DA60" s="85"/>
      <c r="DB60" s="85">
        <v>52580</v>
      </c>
      <c r="DH60" s="85">
        <v>52580</v>
      </c>
      <c r="DL60" s="40">
        <f t="shared" si="14"/>
        <v>0</v>
      </c>
      <c r="DN60" s="85">
        <v>52580</v>
      </c>
      <c r="DR60" s="40">
        <f t="shared" si="15"/>
        <v>0</v>
      </c>
      <c r="DT60" s="85">
        <v>52580</v>
      </c>
      <c r="DY60" s="40">
        <f t="shared" si="16"/>
        <v>0</v>
      </c>
      <c r="EA60" s="85">
        <v>52580</v>
      </c>
      <c r="EF60" s="40">
        <f t="shared" si="17"/>
        <v>0</v>
      </c>
      <c r="EH60" s="85">
        <v>52580</v>
      </c>
      <c r="EM60" s="40">
        <f t="shared" si="18"/>
        <v>0</v>
      </c>
      <c r="EO60" s="85">
        <v>52580</v>
      </c>
      <c r="ET60" s="40">
        <f t="shared" si="19"/>
        <v>0</v>
      </c>
    </row>
    <row r="61" spans="1:150" x14ac:dyDescent="0.4">
      <c r="F61" s="85">
        <v>52778</v>
      </c>
      <c r="G61" s="85"/>
      <c r="H61" s="85">
        <v>52763</v>
      </c>
      <c r="I61" s="40">
        <f>SUM(Y60:Y61,AG60:AG61,AO60:AO61,AV60:AV61,BC60:BC61,BI60:BI61,BO60:BO61,BV60:BV61,CB60:CB61,CI60:CI61,CO60:CO61,CV60:CV61,DC60:DC61,DI60:DI61,DO60:DO61,DU60:DU61,EB60:EB61,EI60:EI61,EP60:EP61)</f>
        <v>39434757.600000001</v>
      </c>
      <c r="J61" s="40">
        <f>SUM(AA60:AA61,AI60:AI61,AQ60:AQ61,AX60:AX61,BE60:BE61,BK60:BK61,BQ60:BQ61,BX60:BX61,CD60:CD61,CK60:CK61,CQ60:CQ61,CX60:CX61,DE60:DE61,DK60:DK61,DQ60:DQ61,DW60:DW61,ED60:ED61,EK60:EK61,ER60:ER61)</f>
        <v>71685740</v>
      </c>
      <c r="K61" s="40">
        <f>SUM(AB60:AB61,AJ60:AJ61,AR60:AR61,AY60:AY61,BR60:BR61,CE60:CE61,CR60:CR61,CY60:CY61,DX60:DX61,EE60:EE61,EL60:EL61,ES60:ES61)</f>
        <v>236120242.40000001</v>
      </c>
      <c r="L61" s="40">
        <f>SUM(AC60:AC61,AK60:AK61)</f>
        <v>0</v>
      </c>
      <c r="M61" s="40">
        <f>SUM(I61:L61)</f>
        <v>347240740</v>
      </c>
      <c r="O61" s="85">
        <v>52778</v>
      </c>
      <c r="P61" s="85"/>
      <c r="Q61" s="85">
        <v>52763</v>
      </c>
      <c r="R61" s="40">
        <f t="shared" si="20"/>
        <v>33701220</v>
      </c>
      <c r="S61" s="40">
        <f t="shared" si="21"/>
        <v>35742415</v>
      </c>
      <c r="T61" s="40">
        <f t="shared" si="22"/>
        <v>233768780</v>
      </c>
      <c r="U61" s="40">
        <f t="shared" si="23"/>
        <v>0</v>
      </c>
      <c r="V61" s="40">
        <f t="shared" si="24"/>
        <v>303212415</v>
      </c>
      <c r="X61" s="85">
        <v>52763</v>
      </c>
      <c r="Y61" s="40"/>
      <c r="Z61" s="101"/>
      <c r="AA61" s="40"/>
      <c r="AB61" s="40"/>
      <c r="AC61" s="40"/>
      <c r="AD61" s="40">
        <f t="shared" si="27"/>
        <v>0</v>
      </c>
      <c r="AF61" s="85">
        <v>52763</v>
      </c>
      <c r="AG61" s="40">
        <v>0</v>
      </c>
      <c r="AH61" s="101"/>
      <c r="AI61" s="40">
        <v>4750125</v>
      </c>
      <c r="AJ61" s="40">
        <v>0</v>
      </c>
      <c r="AK61" s="40"/>
      <c r="AL61" s="40">
        <f t="shared" si="6"/>
        <v>4750125</v>
      </c>
      <c r="AN61" s="85">
        <v>52763</v>
      </c>
      <c r="AO61" s="40">
        <v>0</v>
      </c>
      <c r="AQ61" s="40">
        <v>545490</v>
      </c>
      <c r="AR61" s="40">
        <v>0</v>
      </c>
      <c r="AS61" s="40">
        <f t="shared" si="7"/>
        <v>545490</v>
      </c>
      <c r="AU61" s="85">
        <v>52763</v>
      </c>
      <c r="AV61" s="40">
        <v>0</v>
      </c>
      <c r="AW61" s="40"/>
      <c r="AX61" s="40">
        <v>3425625</v>
      </c>
      <c r="AY61" s="40">
        <v>0</v>
      </c>
      <c r="AZ61" s="40">
        <f t="shared" si="8"/>
        <v>3425625</v>
      </c>
      <c r="BB61" s="85">
        <v>52763</v>
      </c>
      <c r="BC61" s="40">
        <v>0</v>
      </c>
      <c r="BD61" s="40"/>
      <c r="BE61" s="40">
        <v>814750</v>
      </c>
      <c r="BF61" s="40">
        <f t="shared" si="9"/>
        <v>814750</v>
      </c>
      <c r="BH61" s="85">
        <v>52763</v>
      </c>
      <c r="BL61" s="40">
        <f t="shared" si="10"/>
        <v>0</v>
      </c>
      <c r="BN61" s="85">
        <v>52763</v>
      </c>
      <c r="BO61" s="40">
        <v>0</v>
      </c>
      <c r="BP61" s="87">
        <v>0</v>
      </c>
      <c r="BQ61" s="40">
        <v>3760000</v>
      </c>
      <c r="BR61" s="40">
        <v>0</v>
      </c>
      <c r="BS61" s="40">
        <f t="shared" si="1"/>
        <v>3760000</v>
      </c>
      <c r="BT61" s="67"/>
      <c r="BU61" s="85">
        <v>52763</v>
      </c>
      <c r="BW61" s="87"/>
      <c r="BZ61" s="67"/>
      <c r="CA61" s="85">
        <v>52763</v>
      </c>
      <c r="CB61" s="40">
        <v>33701220</v>
      </c>
      <c r="CC61" s="87">
        <v>6.25E-2</v>
      </c>
      <c r="CD61" s="40">
        <v>18269725</v>
      </c>
      <c r="CE61" s="40">
        <v>233768780</v>
      </c>
      <c r="CF61" s="40">
        <f t="shared" si="11"/>
        <v>285739725</v>
      </c>
      <c r="CG61" s="67"/>
      <c r="CH61" s="85">
        <v>52763</v>
      </c>
      <c r="CI61" s="40"/>
      <c r="CJ61" s="87">
        <v>0</v>
      </c>
      <c r="CK61" s="40">
        <v>4176700</v>
      </c>
      <c r="CL61" s="40">
        <f t="shared" si="12"/>
        <v>4176700</v>
      </c>
      <c r="CM61" s="67"/>
      <c r="CN61" s="85">
        <v>52763</v>
      </c>
      <c r="CO61" s="40"/>
      <c r="CP61" s="87"/>
      <c r="CQ61" s="40"/>
      <c r="CR61" s="40"/>
      <c r="CS61" s="40">
        <f t="shared" si="13"/>
        <v>0</v>
      </c>
      <c r="CT61" s="40"/>
      <c r="CU61" s="85">
        <v>52763</v>
      </c>
      <c r="CW61" s="87"/>
      <c r="CZ61" s="40">
        <f t="shared" si="3"/>
        <v>0</v>
      </c>
      <c r="DA61" s="85"/>
      <c r="DB61" s="85">
        <v>52763</v>
      </c>
      <c r="DH61" s="85">
        <v>52763</v>
      </c>
      <c r="DL61" s="40">
        <f t="shared" si="14"/>
        <v>0</v>
      </c>
      <c r="DN61" s="85">
        <v>52763</v>
      </c>
      <c r="DR61" s="40">
        <f t="shared" si="15"/>
        <v>0</v>
      </c>
      <c r="DT61" s="85">
        <v>52763</v>
      </c>
      <c r="DY61" s="40">
        <f t="shared" si="16"/>
        <v>0</v>
      </c>
      <c r="EA61" s="85">
        <v>52763</v>
      </c>
      <c r="EF61" s="40">
        <f t="shared" si="17"/>
        <v>0</v>
      </c>
      <c r="EH61" s="85">
        <v>52763</v>
      </c>
      <c r="EM61" s="40">
        <f t="shared" si="18"/>
        <v>0</v>
      </c>
      <c r="EO61" s="85">
        <v>52763</v>
      </c>
      <c r="ET61" s="40">
        <f t="shared" si="19"/>
        <v>0</v>
      </c>
    </row>
    <row r="62" spans="1:150" x14ac:dyDescent="0.4">
      <c r="F62" s="85">
        <v>52962</v>
      </c>
      <c r="G62" s="85"/>
      <c r="H62" s="85">
        <v>52946</v>
      </c>
      <c r="I62" s="40"/>
      <c r="O62" s="85">
        <v>52962</v>
      </c>
      <c r="P62" s="85"/>
      <c r="Q62" s="85">
        <v>52946</v>
      </c>
      <c r="R62" s="40">
        <f t="shared" si="20"/>
        <v>6032577.5999999996</v>
      </c>
      <c r="S62" s="40">
        <f t="shared" si="21"/>
        <v>35742415</v>
      </c>
      <c r="T62" s="40">
        <f t="shared" si="22"/>
        <v>2472422.3999999999</v>
      </c>
      <c r="U62" s="40">
        <f t="shared" si="23"/>
        <v>0</v>
      </c>
      <c r="V62" s="40">
        <f t="shared" si="24"/>
        <v>44247415</v>
      </c>
      <c r="X62" s="85">
        <v>52946</v>
      </c>
      <c r="Y62" s="40"/>
      <c r="Z62" s="101"/>
      <c r="AA62" s="40"/>
      <c r="AB62" s="40"/>
      <c r="AC62" s="40"/>
      <c r="AD62" s="40">
        <f t="shared" si="27"/>
        <v>0</v>
      </c>
      <c r="AF62" s="85">
        <v>52946</v>
      </c>
      <c r="AG62" s="40">
        <v>0</v>
      </c>
      <c r="AH62" s="101"/>
      <c r="AI62" s="40">
        <v>4750125</v>
      </c>
      <c r="AJ62" s="40">
        <v>0</v>
      </c>
      <c r="AK62" s="40"/>
      <c r="AL62" s="40">
        <f t="shared" si="6"/>
        <v>4750125</v>
      </c>
      <c r="AN62" s="85">
        <v>52946</v>
      </c>
      <c r="AO62" s="40">
        <v>2637577.6</v>
      </c>
      <c r="AP62" s="101">
        <v>4.9500000000000002E-2</v>
      </c>
      <c r="AQ62" s="40">
        <v>545490</v>
      </c>
      <c r="AR62" s="40">
        <v>2472422.3999999999</v>
      </c>
      <c r="AS62" s="40">
        <f t="shared" si="7"/>
        <v>5655490</v>
      </c>
      <c r="AU62" s="85">
        <v>52946</v>
      </c>
      <c r="AV62" s="40">
        <v>0</v>
      </c>
      <c r="AW62" s="40"/>
      <c r="AX62" s="40">
        <v>3425625</v>
      </c>
      <c r="AY62" s="40">
        <v>0</v>
      </c>
      <c r="AZ62" s="40">
        <f t="shared" si="8"/>
        <v>3425625</v>
      </c>
      <c r="BB62" s="85">
        <v>52946</v>
      </c>
      <c r="BC62" s="40">
        <v>3395000</v>
      </c>
      <c r="BD62" s="101">
        <v>0.05</v>
      </c>
      <c r="BE62" s="40">
        <v>814750</v>
      </c>
      <c r="BF62" s="40">
        <f t="shared" si="9"/>
        <v>4209750</v>
      </c>
      <c r="BH62" s="85">
        <v>52946</v>
      </c>
      <c r="BL62" s="40">
        <f t="shared" si="10"/>
        <v>0</v>
      </c>
      <c r="BN62" s="85">
        <v>52946</v>
      </c>
      <c r="BO62" s="40">
        <v>0</v>
      </c>
      <c r="BP62" s="87">
        <v>0</v>
      </c>
      <c r="BQ62" s="40">
        <v>3760000</v>
      </c>
      <c r="BR62" s="40">
        <v>0</v>
      </c>
      <c r="BS62" s="40">
        <f t="shared" si="1"/>
        <v>3760000</v>
      </c>
      <c r="BT62" s="67"/>
      <c r="BU62" s="85">
        <v>52946</v>
      </c>
      <c r="BW62" s="87"/>
      <c r="BZ62" s="67"/>
      <c r="CA62" s="85">
        <v>52946</v>
      </c>
      <c r="CB62" s="40">
        <v>0</v>
      </c>
      <c r="CC62" s="87">
        <v>0</v>
      </c>
      <c r="CD62" s="40">
        <v>18269725</v>
      </c>
      <c r="CE62" s="40">
        <v>0</v>
      </c>
      <c r="CF62" s="40">
        <f t="shared" si="11"/>
        <v>18269725</v>
      </c>
      <c r="CG62" s="67"/>
      <c r="CH62" s="85">
        <v>52946</v>
      </c>
      <c r="CI62" s="40"/>
      <c r="CJ62" s="87">
        <v>0</v>
      </c>
      <c r="CK62" s="40">
        <v>4176700</v>
      </c>
      <c r="CL62" s="40">
        <f t="shared" si="12"/>
        <v>4176700</v>
      </c>
      <c r="CM62" s="67"/>
      <c r="CN62" s="85">
        <v>52946</v>
      </c>
      <c r="CO62" s="40"/>
      <c r="CP62" s="87"/>
      <c r="CQ62" s="40"/>
      <c r="CR62" s="40"/>
      <c r="CS62" s="40">
        <f t="shared" si="13"/>
        <v>0</v>
      </c>
      <c r="CT62" s="40"/>
      <c r="CU62" s="85">
        <v>52946</v>
      </c>
      <c r="CW62" s="87"/>
      <c r="CZ62" s="40">
        <f t="shared" si="3"/>
        <v>0</v>
      </c>
      <c r="DA62" s="85"/>
      <c r="DB62" s="85">
        <v>52946</v>
      </c>
      <c r="DH62" s="85">
        <v>52946</v>
      </c>
      <c r="DL62" s="40">
        <f t="shared" si="14"/>
        <v>0</v>
      </c>
      <c r="DN62" s="85">
        <v>52946</v>
      </c>
      <c r="DR62" s="40">
        <f t="shared" si="15"/>
        <v>0</v>
      </c>
      <c r="DT62" s="85">
        <v>52946</v>
      </c>
      <c r="DY62" s="40">
        <f t="shared" si="16"/>
        <v>0</v>
      </c>
      <c r="EA62" s="85">
        <v>52946</v>
      </c>
      <c r="EF62" s="40">
        <f t="shared" si="17"/>
        <v>0</v>
      </c>
      <c r="EH62" s="85">
        <v>52946</v>
      </c>
      <c r="EM62" s="40">
        <f t="shared" si="18"/>
        <v>0</v>
      </c>
      <c r="EO62" s="85">
        <v>52946</v>
      </c>
      <c r="ET62" s="40">
        <f t="shared" si="19"/>
        <v>0</v>
      </c>
    </row>
    <row r="63" spans="1:150" x14ac:dyDescent="0.4">
      <c r="F63" s="85">
        <v>53143</v>
      </c>
      <c r="G63" s="85"/>
      <c r="H63" s="85">
        <v>53128</v>
      </c>
      <c r="I63" s="40">
        <f>SUM(Y62:Y63,AG62:AG63,AO62:AO63,AV62:AV63,BC62:BC63,BI62:BI63,BO62:BO63,BV62:BV63,CB62:CB63,CI62:CI63,CO62:CO63,CV62:CV63,DC62:DC63,DI62:DI63,DO62:DO63,DU62:DU63,EB62:EB63,EI62:EI63,EP62:EP63)</f>
        <v>37721830.799999997</v>
      </c>
      <c r="J63" s="40">
        <f>SUM(AA62:AA63,AI62:AI63,AQ62:AQ63,AX62:AX63,BE62:BE63,BK62:BK63,BQ62:BQ63,BX62:BX63,CD62:CD63,CK62:CK63,CQ62:CQ63,CX62:CX63,DE62:DE63,DK62:DK63,DQ62:DQ63,DW62:DW63,ED62:ED63,EK62:EK63,ER62:ER63)</f>
        <v>71273482.5</v>
      </c>
      <c r="K63" s="40">
        <f>SUM(AB62:AB63,AJ62:AJ63,AR62:AR63,AY62:AY63,BR62:BR63,CE62:CE63,CR62:CR63,CY62:CY63,DX62:DX63,EE62:EE63,EL62:EL63,ES62:ES63)</f>
        <v>238248169.20000002</v>
      </c>
      <c r="L63" s="40">
        <f>SUM(AC62:AC63,AK62:AK63)</f>
        <v>0</v>
      </c>
      <c r="M63" s="40">
        <f>SUM(I63:L63)</f>
        <v>347243482.5</v>
      </c>
      <c r="O63" s="85">
        <v>53143</v>
      </c>
      <c r="P63" s="85"/>
      <c r="Q63" s="85">
        <v>53128</v>
      </c>
      <c r="R63" s="40">
        <f t="shared" si="20"/>
        <v>31689253.199999999</v>
      </c>
      <c r="S63" s="40">
        <f t="shared" si="21"/>
        <v>35531067.5</v>
      </c>
      <c r="T63" s="40">
        <f t="shared" si="22"/>
        <v>235775746.80000001</v>
      </c>
      <c r="U63" s="40">
        <f t="shared" si="23"/>
        <v>0</v>
      </c>
      <c r="V63" s="40">
        <f t="shared" si="24"/>
        <v>302996067.5</v>
      </c>
      <c r="X63" s="85">
        <v>53128</v>
      </c>
      <c r="Y63" s="40"/>
      <c r="Z63" s="101"/>
      <c r="AA63" s="40"/>
      <c r="AB63" s="40"/>
      <c r="AC63" s="40"/>
      <c r="AD63" s="40">
        <f t="shared" si="27"/>
        <v>0</v>
      </c>
      <c r="AF63" s="85">
        <v>53128</v>
      </c>
      <c r="AG63" s="40">
        <v>0</v>
      </c>
      <c r="AH63" s="101"/>
      <c r="AI63" s="40">
        <v>4750125</v>
      </c>
      <c r="AJ63" s="40">
        <v>0</v>
      </c>
      <c r="AK63" s="40"/>
      <c r="AL63" s="40">
        <f t="shared" si="6"/>
        <v>4750125</v>
      </c>
      <c r="AN63" s="85">
        <v>53128</v>
      </c>
      <c r="AO63" s="40">
        <v>0</v>
      </c>
      <c r="AQ63" s="40">
        <v>419017.5</v>
      </c>
      <c r="AR63" s="40">
        <v>0</v>
      </c>
      <c r="AS63" s="40">
        <f t="shared" si="7"/>
        <v>419017.5</v>
      </c>
      <c r="AU63" s="85">
        <v>53128</v>
      </c>
      <c r="AV63" s="40">
        <v>0</v>
      </c>
      <c r="AW63" s="40"/>
      <c r="AX63" s="40">
        <v>3425625</v>
      </c>
      <c r="AY63" s="40">
        <v>0</v>
      </c>
      <c r="AZ63" s="40">
        <f t="shared" si="8"/>
        <v>3425625</v>
      </c>
      <c r="BB63" s="85">
        <v>53128</v>
      </c>
      <c r="BC63" s="40">
        <v>0</v>
      </c>
      <c r="BD63" s="40"/>
      <c r="BE63" s="40">
        <v>729875</v>
      </c>
      <c r="BF63" s="40">
        <f t="shared" si="9"/>
        <v>729875</v>
      </c>
      <c r="BH63" s="85">
        <v>53128</v>
      </c>
      <c r="BL63" s="40">
        <f t="shared" si="10"/>
        <v>0</v>
      </c>
      <c r="BN63" s="85">
        <v>53128</v>
      </c>
      <c r="BO63" s="40">
        <v>0</v>
      </c>
      <c r="BP63" s="87">
        <v>0</v>
      </c>
      <c r="BQ63" s="40">
        <v>3760000</v>
      </c>
      <c r="BR63" s="40">
        <v>0</v>
      </c>
      <c r="BS63" s="40">
        <f t="shared" si="1"/>
        <v>3760000</v>
      </c>
      <c r="BT63" s="67"/>
      <c r="BU63" s="85">
        <v>53128</v>
      </c>
      <c r="BW63" s="87"/>
      <c r="BZ63" s="67"/>
      <c r="CA63" s="85">
        <v>53128</v>
      </c>
      <c r="CB63" s="40">
        <v>31689253.199999999</v>
      </c>
      <c r="CC63" s="87">
        <v>6.25E-2</v>
      </c>
      <c r="CD63" s="40">
        <v>18269725</v>
      </c>
      <c r="CE63" s="40">
        <v>235775746.80000001</v>
      </c>
      <c r="CF63" s="40">
        <f t="shared" si="11"/>
        <v>285734725</v>
      </c>
      <c r="CG63" s="67"/>
      <c r="CH63" s="85">
        <v>53128</v>
      </c>
      <c r="CI63" s="40"/>
      <c r="CJ63" s="87">
        <v>0</v>
      </c>
      <c r="CK63" s="40">
        <v>4176700</v>
      </c>
      <c r="CL63" s="40">
        <f t="shared" si="12"/>
        <v>4176700</v>
      </c>
      <c r="CM63" s="67"/>
      <c r="CN63" s="85">
        <v>53128</v>
      </c>
      <c r="CO63" s="40"/>
      <c r="CP63" s="87"/>
      <c r="CQ63" s="40"/>
      <c r="CR63" s="40"/>
      <c r="CS63" s="40">
        <f t="shared" si="13"/>
        <v>0</v>
      </c>
      <c r="CT63" s="40"/>
      <c r="CU63" s="85">
        <v>53128</v>
      </c>
      <c r="CW63" s="87"/>
      <c r="CZ63" s="40">
        <f t="shared" si="3"/>
        <v>0</v>
      </c>
      <c r="DA63" s="85"/>
      <c r="DB63" s="85">
        <v>53128</v>
      </c>
      <c r="DH63" s="85">
        <v>53128</v>
      </c>
      <c r="DL63" s="40">
        <f t="shared" si="14"/>
        <v>0</v>
      </c>
      <c r="DN63" s="85">
        <v>53128</v>
      </c>
      <c r="DR63" s="40">
        <f t="shared" si="15"/>
        <v>0</v>
      </c>
      <c r="DT63" s="85">
        <v>53128</v>
      </c>
      <c r="DY63" s="40">
        <f t="shared" si="16"/>
        <v>0</v>
      </c>
      <c r="EA63" s="85">
        <v>53128</v>
      </c>
      <c r="EF63" s="40">
        <f t="shared" si="17"/>
        <v>0</v>
      </c>
      <c r="EH63" s="85">
        <v>53128</v>
      </c>
      <c r="EM63" s="40">
        <f t="shared" si="18"/>
        <v>0</v>
      </c>
      <c r="EO63" s="85">
        <v>53128</v>
      </c>
      <c r="ET63" s="40">
        <f t="shared" si="19"/>
        <v>0</v>
      </c>
    </row>
    <row r="64" spans="1:150" x14ac:dyDescent="0.4">
      <c r="F64" s="85">
        <v>53327</v>
      </c>
      <c r="G64" s="85"/>
      <c r="H64" s="85">
        <v>53311</v>
      </c>
      <c r="I64" s="40"/>
      <c r="O64" s="85">
        <v>53327</v>
      </c>
      <c r="P64" s="85"/>
      <c r="Q64" s="85">
        <v>53311</v>
      </c>
      <c r="R64" s="40">
        <f t="shared" si="20"/>
        <v>6334198.4000000004</v>
      </c>
      <c r="S64" s="40">
        <f t="shared" si="21"/>
        <v>35531067.5</v>
      </c>
      <c r="T64" s="40">
        <f t="shared" si="22"/>
        <v>2595801.6</v>
      </c>
      <c r="U64" s="40">
        <f t="shared" si="23"/>
        <v>0</v>
      </c>
      <c r="V64" s="40">
        <f t="shared" si="24"/>
        <v>44461067.5</v>
      </c>
      <c r="X64" s="85">
        <v>53311</v>
      </c>
      <c r="Y64" s="40"/>
      <c r="Z64" s="101"/>
      <c r="AA64" s="40"/>
      <c r="AB64" s="40"/>
      <c r="AC64" s="40"/>
      <c r="AD64" s="40">
        <f t="shared" si="27"/>
        <v>0</v>
      </c>
      <c r="AF64" s="85">
        <v>53311</v>
      </c>
      <c r="AG64" s="40">
        <v>0</v>
      </c>
      <c r="AH64" s="101"/>
      <c r="AI64" s="40">
        <v>4750125</v>
      </c>
      <c r="AJ64" s="40">
        <v>0</v>
      </c>
      <c r="AK64" s="40"/>
      <c r="AL64" s="40">
        <f t="shared" si="6"/>
        <v>4750125</v>
      </c>
      <c r="AN64" s="85">
        <v>53311</v>
      </c>
      <c r="AO64" s="40">
        <v>2769198.4</v>
      </c>
      <c r="AP64" s="101">
        <v>4.9500000000000002E-2</v>
      </c>
      <c r="AQ64" s="40">
        <v>419017.5</v>
      </c>
      <c r="AR64" s="40">
        <v>2595801.6</v>
      </c>
      <c r="AS64" s="40">
        <f t="shared" si="7"/>
        <v>5784017.5</v>
      </c>
      <c r="AU64" s="85">
        <v>53311</v>
      </c>
      <c r="AV64" s="40">
        <v>0</v>
      </c>
      <c r="AW64" s="40"/>
      <c r="AX64" s="40">
        <v>3425625</v>
      </c>
      <c r="AY64" s="40">
        <v>0</v>
      </c>
      <c r="AZ64" s="40">
        <f t="shared" si="8"/>
        <v>3425625</v>
      </c>
      <c r="BB64" s="85">
        <v>53311</v>
      </c>
      <c r="BC64" s="40">
        <v>3565000</v>
      </c>
      <c r="BD64" s="101">
        <v>0.05</v>
      </c>
      <c r="BE64" s="40">
        <v>729875</v>
      </c>
      <c r="BF64" s="40">
        <f t="shared" si="9"/>
        <v>4294875</v>
      </c>
      <c r="BH64" s="85">
        <v>53311</v>
      </c>
      <c r="BL64" s="40">
        <f t="shared" si="10"/>
        <v>0</v>
      </c>
      <c r="BN64" s="85">
        <v>53311</v>
      </c>
      <c r="BO64" s="40">
        <v>0</v>
      </c>
      <c r="BP64" s="87">
        <v>0</v>
      </c>
      <c r="BQ64" s="40">
        <v>3760000</v>
      </c>
      <c r="BR64" s="40">
        <v>0</v>
      </c>
      <c r="BS64" s="40">
        <f t="shared" si="1"/>
        <v>3760000</v>
      </c>
      <c r="BT64" s="67"/>
      <c r="BU64" s="85">
        <v>53311</v>
      </c>
      <c r="BW64" s="87"/>
      <c r="BZ64" s="67"/>
      <c r="CA64" s="85">
        <v>53311</v>
      </c>
      <c r="CB64" s="40">
        <v>0</v>
      </c>
      <c r="CC64" s="87">
        <v>0</v>
      </c>
      <c r="CD64" s="40">
        <v>18269725</v>
      </c>
      <c r="CE64" s="40">
        <v>0</v>
      </c>
      <c r="CF64" s="40">
        <f t="shared" si="11"/>
        <v>18269725</v>
      </c>
      <c r="CG64" s="67"/>
      <c r="CH64" s="85">
        <v>53311</v>
      </c>
      <c r="CI64" s="40"/>
      <c r="CJ64" s="87">
        <v>0</v>
      </c>
      <c r="CK64" s="40">
        <v>4176700</v>
      </c>
      <c r="CL64" s="40">
        <f t="shared" si="12"/>
        <v>4176700</v>
      </c>
      <c r="CM64" s="67"/>
      <c r="CN64" s="85">
        <v>53311</v>
      </c>
      <c r="CO64" s="40"/>
      <c r="CP64" s="87"/>
      <c r="CQ64" s="40"/>
      <c r="CR64" s="40"/>
      <c r="CS64" s="40">
        <f t="shared" si="13"/>
        <v>0</v>
      </c>
      <c r="CT64" s="40"/>
      <c r="CU64" s="85">
        <v>53311</v>
      </c>
      <c r="CW64" s="87"/>
      <c r="CZ64" s="40">
        <f t="shared" si="3"/>
        <v>0</v>
      </c>
      <c r="DA64" s="85"/>
      <c r="DB64" s="85">
        <v>53311</v>
      </c>
      <c r="DH64" s="85">
        <v>53311</v>
      </c>
      <c r="DL64" s="40">
        <f t="shared" si="14"/>
        <v>0</v>
      </c>
      <c r="DN64" s="85">
        <v>53311</v>
      </c>
      <c r="DR64" s="40">
        <f t="shared" si="15"/>
        <v>0</v>
      </c>
      <c r="DT64" s="85">
        <v>53311</v>
      </c>
      <c r="DY64" s="40">
        <f t="shared" si="16"/>
        <v>0</v>
      </c>
      <c r="EA64" s="85">
        <v>53311</v>
      </c>
      <c r="EF64" s="40">
        <f t="shared" si="17"/>
        <v>0</v>
      </c>
      <c r="EH64" s="85">
        <v>53311</v>
      </c>
      <c r="EM64" s="40">
        <f t="shared" si="18"/>
        <v>0</v>
      </c>
      <c r="EO64" s="85">
        <v>53311</v>
      </c>
      <c r="ET64" s="40">
        <f t="shared" si="19"/>
        <v>0</v>
      </c>
    </row>
    <row r="65" spans="6:150" x14ac:dyDescent="0.4">
      <c r="F65" s="85">
        <v>53508</v>
      </c>
      <c r="G65" s="85"/>
      <c r="H65" s="85">
        <v>53493</v>
      </c>
      <c r="I65" s="40">
        <f>SUM(Y64:Y65,AG64:AG65,AO64:AO65,AV64:AV65,BC64:BC65,BI64:BI65,BO64:BO65,BV64:BV65,CB64:CB65,CI64:CI65,CO64:CO65,CV64:CV65,DC64:DC65,DI64:DI65,DO64:DO65,DU64:DU65,EB64:EB65,EI64:EI65,EP64:EP65)</f>
        <v>36133031.100000001</v>
      </c>
      <c r="J65" s="40">
        <f>SUM(AA64:AA65,AI64:AI65,AQ64:AQ65,AX64:AX65,BE64:BE65,BK64:BK65,BQ64:BQ65,BX64:BX65,CD64:CD65,CK64:CK65,CQ64:CQ65,CX64:CX65,DE64:DE65,DK64:DK65,DQ64:DQ65,DW64:DW65,ED64:ED65,EK64:EK65,ER64:ER65)</f>
        <v>70840226.25</v>
      </c>
      <c r="K65" s="40">
        <f>SUM(AB64:AB65,AJ64:AJ65,AR64:AR65,AY64:AY65,BR64:BR65,CE64:CE65,CR64:CR65,CY64:CY65,DX64:DX65,EE64:EE65,EL64:EL65,ES64:ES65)</f>
        <v>240266968.90000001</v>
      </c>
      <c r="L65" s="40">
        <f>SUM(AC64:AC65,AK64:AK65)</f>
        <v>0</v>
      </c>
      <c r="M65" s="40">
        <f>SUM(I65:L65)</f>
        <v>347240226.25</v>
      </c>
      <c r="O65" s="85">
        <v>53508</v>
      </c>
      <c r="P65" s="85"/>
      <c r="Q65" s="85">
        <v>53493</v>
      </c>
      <c r="R65" s="40">
        <f t="shared" si="20"/>
        <v>29798832.699999999</v>
      </c>
      <c r="S65" s="40">
        <f t="shared" si="21"/>
        <v>35309158.75</v>
      </c>
      <c r="T65" s="40">
        <f t="shared" si="22"/>
        <v>237671167.30000001</v>
      </c>
      <c r="U65" s="40">
        <f t="shared" si="23"/>
        <v>0</v>
      </c>
      <c r="V65" s="40">
        <f t="shared" si="24"/>
        <v>302779158.75</v>
      </c>
      <c r="X65" s="85">
        <v>53493</v>
      </c>
      <c r="Y65" s="40"/>
      <c r="Z65" s="101"/>
      <c r="AA65" s="40"/>
      <c r="AB65" s="40"/>
      <c r="AC65" s="40"/>
      <c r="AD65" s="40">
        <f t="shared" si="27"/>
        <v>0</v>
      </c>
      <c r="AF65" s="85">
        <v>53493</v>
      </c>
      <c r="AG65" s="40">
        <v>0</v>
      </c>
      <c r="AH65" s="101"/>
      <c r="AI65" s="40">
        <v>4750125</v>
      </c>
      <c r="AJ65" s="40">
        <v>0</v>
      </c>
      <c r="AK65" s="40"/>
      <c r="AL65" s="40">
        <f t="shared" si="6"/>
        <v>4750125</v>
      </c>
      <c r="AN65" s="85">
        <v>53493</v>
      </c>
      <c r="AO65" s="40">
        <v>0</v>
      </c>
      <c r="AQ65" s="40">
        <v>286233.75</v>
      </c>
      <c r="AR65" s="40">
        <v>0</v>
      </c>
      <c r="AS65" s="40">
        <f t="shared" si="7"/>
        <v>286233.75</v>
      </c>
      <c r="AU65" s="85">
        <v>53493</v>
      </c>
      <c r="AV65" s="40">
        <v>0</v>
      </c>
      <c r="AW65" s="40"/>
      <c r="AX65" s="40">
        <v>3425625</v>
      </c>
      <c r="AY65" s="40">
        <v>0</v>
      </c>
      <c r="AZ65" s="40">
        <f t="shared" si="8"/>
        <v>3425625</v>
      </c>
      <c r="BB65" s="85">
        <v>53493</v>
      </c>
      <c r="BC65" s="40">
        <v>0</v>
      </c>
      <c r="BD65" s="40"/>
      <c r="BE65" s="40">
        <v>640750</v>
      </c>
      <c r="BF65" s="40">
        <f t="shared" si="9"/>
        <v>640750</v>
      </c>
      <c r="BH65" s="85">
        <v>53493</v>
      </c>
      <c r="BL65" s="40">
        <f t="shared" si="10"/>
        <v>0</v>
      </c>
      <c r="BN65" s="85">
        <v>53493</v>
      </c>
      <c r="BO65" s="40">
        <v>0</v>
      </c>
      <c r="BP65" s="87">
        <v>0</v>
      </c>
      <c r="BQ65" s="40">
        <v>3760000</v>
      </c>
      <c r="BR65" s="40">
        <v>0</v>
      </c>
      <c r="BS65" s="40">
        <f t="shared" si="1"/>
        <v>3760000</v>
      </c>
      <c r="BT65" s="67"/>
      <c r="BU65" s="85">
        <v>53493</v>
      </c>
      <c r="BW65" s="87"/>
      <c r="BZ65" s="67"/>
      <c r="CA65" s="85">
        <v>53493</v>
      </c>
      <c r="CB65" s="40">
        <v>29798832.699999999</v>
      </c>
      <c r="CC65" s="123">
        <v>6.25E-2</v>
      </c>
      <c r="CD65" s="40">
        <v>18269725</v>
      </c>
      <c r="CE65" s="40">
        <v>237671167.30000001</v>
      </c>
      <c r="CF65" s="40">
        <f t="shared" si="11"/>
        <v>285739725</v>
      </c>
      <c r="CG65" s="67"/>
      <c r="CH65" s="85">
        <v>53493</v>
      </c>
      <c r="CI65" s="40"/>
      <c r="CJ65" s="87">
        <v>0</v>
      </c>
      <c r="CK65" s="40">
        <v>4176700</v>
      </c>
      <c r="CL65" s="40">
        <f t="shared" si="12"/>
        <v>4176700</v>
      </c>
      <c r="CM65" s="67"/>
      <c r="CN65" s="85">
        <v>53493</v>
      </c>
      <c r="CO65" s="40"/>
      <c r="CP65" s="87"/>
      <c r="CQ65" s="40"/>
      <c r="CR65" s="40"/>
      <c r="CS65" s="40">
        <f t="shared" si="13"/>
        <v>0</v>
      </c>
      <c r="CT65" s="40"/>
      <c r="CU65" s="85">
        <v>53493</v>
      </c>
      <c r="CW65" s="87"/>
      <c r="CZ65" s="40">
        <f t="shared" si="3"/>
        <v>0</v>
      </c>
      <c r="DA65" s="85"/>
      <c r="DB65" s="85">
        <v>53493</v>
      </c>
      <c r="DH65" s="85">
        <v>53493</v>
      </c>
      <c r="DL65" s="40">
        <f t="shared" si="14"/>
        <v>0</v>
      </c>
      <c r="DN65" s="85">
        <v>53493</v>
      </c>
      <c r="DR65" s="40">
        <f t="shared" si="15"/>
        <v>0</v>
      </c>
      <c r="DT65" s="85">
        <v>53493</v>
      </c>
      <c r="DY65" s="40">
        <f t="shared" si="16"/>
        <v>0</v>
      </c>
      <c r="EA65" s="85">
        <v>53493</v>
      </c>
      <c r="EF65" s="40">
        <f t="shared" si="17"/>
        <v>0</v>
      </c>
      <c r="EH65" s="85">
        <v>53493</v>
      </c>
      <c r="EM65" s="40">
        <f t="shared" si="18"/>
        <v>0</v>
      </c>
      <c r="EO65" s="85">
        <v>53493</v>
      </c>
      <c r="ET65" s="40">
        <f t="shared" si="19"/>
        <v>0</v>
      </c>
    </row>
    <row r="66" spans="6:150" x14ac:dyDescent="0.4">
      <c r="F66" s="85">
        <v>53692</v>
      </c>
      <c r="G66" s="85"/>
      <c r="H66" s="85">
        <v>53676</v>
      </c>
      <c r="I66" s="40"/>
      <c r="O66" s="85">
        <v>53692</v>
      </c>
      <c r="P66" s="85"/>
      <c r="Q66" s="85">
        <v>53676</v>
      </c>
      <c r="R66" s="40">
        <f t="shared" si="20"/>
        <v>33946142.399999999</v>
      </c>
      <c r="S66" s="40">
        <f t="shared" si="21"/>
        <v>35309158.75</v>
      </c>
      <c r="T66" s="40">
        <f t="shared" si="22"/>
        <v>2728857.6000000001</v>
      </c>
      <c r="U66" s="40">
        <f t="shared" si="23"/>
        <v>0</v>
      </c>
      <c r="V66" s="40">
        <f t="shared" si="24"/>
        <v>71984158.75</v>
      </c>
      <c r="X66" s="85">
        <v>53676</v>
      </c>
      <c r="Y66" s="40"/>
      <c r="Z66" s="101"/>
      <c r="AA66" s="40"/>
      <c r="AB66" s="40"/>
      <c r="AC66" s="40"/>
      <c r="AD66" s="40">
        <f t="shared" si="27"/>
        <v>0</v>
      </c>
      <c r="AF66" s="85">
        <v>53676</v>
      </c>
      <c r="AG66" s="40">
        <v>0</v>
      </c>
      <c r="AH66" s="101"/>
      <c r="AI66" s="40">
        <v>4750125</v>
      </c>
      <c r="AJ66" s="40">
        <v>0</v>
      </c>
      <c r="AK66" s="40"/>
      <c r="AL66" s="40">
        <f t="shared" si="6"/>
        <v>4750125</v>
      </c>
      <c r="AN66" s="85">
        <v>53676</v>
      </c>
      <c r="AO66" s="40">
        <v>2911142.4</v>
      </c>
      <c r="AP66" s="101">
        <v>4.9500000000000002E-2</v>
      </c>
      <c r="AQ66" s="40">
        <v>286233.75</v>
      </c>
      <c r="AR66" s="40">
        <v>2728857.6000000001</v>
      </c>
      <c r="AS66" s="40">
        <f t="shared" si="7"/>
        <v>5926233.75</v>
      </c>
      <c r="AU66" s="85">
        <v>53676</v>
      </c>
      <c r="AV66" s="40">
        <v>0</v>
      </c>
      <c r="AW66" s="40"/>
      <c r="AX66" s="40">
        <v>3425625</v>
      </c>
      <c r="AY66" s="40">
        <v>0</v>
      </c>
      <c r="AZ66" s="40">
        <f t="shared" si="8"/>
        <v>3425625</v>
      </c>
      <c r="BB66" s="85">
        <v>53676</v>
      </c>
      <c r="BC66" s="40">
        <v>3750000</v>
      </c>
      <c r="BD66" s="101">
        <v>0.05</v>
      </c>
      <c r="BE66" s="40">
        <v>640750</v>
      </c>
      <c r="BF66" s="40">
        <f t="shared" si="9"/>
        <v>4390750</v>
      </c>
      <c r="BH66" s="85">
        <v>53676</v>
      </c>
      <c r="BL66" s="40">
        <f t="shared" si="10"/>
        <v>0</v>
      </c>
      <c r="BN66" s="85">
        <v>53676</v>
      </c>
      <c r="BO66" s="40">
        <v>0</v>
      </c>
      <c r="BP66" s="87">
        <v>0</v>
      </c>
      <c r="BQ66" s="40">
        <v>3760000</v>
      </c>
      <c r="BR66" s="40">
        <v>0</v>
      </c>
      <c r="BS66" s="40">
        <f t="shared" si="1"/>
        <v>3760000</v>
      </c>
      <c r="BT66" s="67"/>
      <c r="BU66" s="85">
        <v>53676</v>
      </c>
      <c r="BW66" s="87"/>
      <c r="BZ66" s="67"/>
      <c r="CA66" s="85">
        <v>53676</v>
      </c>
      <c r="CB66" s="40">
        <v>27285000</v>
      </c>
      <c r="CC66" s="123" t="s">
        <v>105</v>
      </c>
      <c r="CD66" s="40">
        <v>18269725</v>
      </c>
      <c r="CE66" s="40">
        <v>0</v>
      </c>
      <c r="CF66" s="40">
        <f t="shared" si="11"/>
        <v>45554725</v>
      </c>
      <c r="CG66" s="67"/>
      <c r="CH66" s="85">
        <v>53676</v>
      </c>
      <c r="CI66" s="40"/>
      <c r="CJ66" s="87">
        <v>0</v>
      </c>
      <c r="CK66" s="40">
        <v>4176700</v>
      </c>
      <c r="CL66" s="40">
        <f t="shared" si="12"/>
        <v>4176700</v>
      </c>
      <c r="CM66" s="67"/>
      <c r="CN66" s="85">
        <v>53676</v>
      </c>
      <c r="CO66" s="40"/>
      <c r="CP66" s="87"/>
      <c r="CQ66" s="40"/>
      <c r="CR66" s="40"/>
      <c r="CS66" s="40">
        <f t="shared" si="13"/>
        <v>0</v>
      </c>
      <c r="CT66" s="40"/>
      <c r="CU66" s="85">
        <v>53676</v>
      </c>
      <c r="CV66" s="40"/>
      <c r="CW66" s="87"/>
      <c r="CX66" s="40"/>
      <c r="CY66" s="40"/>
      <c r="CZ66" s="40">
        <f t="shared" si="3"/>
        <v>0</v>
      </c>
      <c r="DA66" s="85"/>
      <c r="DB66" s="85">
        <v>53676</v>
      </c>
      <c r="DG66" s="67"/>
      <c r="DH66" s="85">
        <v>53676</v>
      </c>
      <c r="DL66" s="40">
        <f t="shared" si="14"/>
        <v>0</v>
      </c>
      <c r="DM66" s="67"/>
      <c r="DN66" s="85">
        <v>53676</v>
      </c>
      <c r="DR66" s="40">
        <f t="shared" si="15"/>
        <v>0</v>
      </c>
      <c r="DS66" s="67"/>
      <c r="DT66" s="85">
        <v>53676</v>
      </c>
      <c r="DY66" s="40">
        <f t="shared" si="16"/>
        <v>0</v>
      </c>
      <c r="DZ66" s="67"/>
      <c r="EA66" s="85">
        <v>53676</v>
      </c>
      <c r="EF66" s="40">
        <f t="shared" si="17"/>
        <v>0</v>
      </c>
      <c r="EG66" s="67"/>
      <c r="EH66" s="85">
        <v>53676</v>
      </c>
      <c r="EM66" s="40">
        <f t="shared" si="18"/>
        <v>0</v>
      </c>
      <c r="EN66" s="67"/>
      <c r="EO66" s="85">
        <v>53676</v>
      </c>
      <c r="ET66" s="40">
        <f t="shared" si="19"/>
        <v>0</v>
      </c>
    </row>
    <row r="67" spans="6:150" x14ac:dyDescent="0.4">
      <c r="F67" s="85">
        <v>53873</v>
      </c>
      <c r="G67" s="85"/>
      <c r="H67" s="85">
        <v>53858</v>
      </c>
      <c r="I67" s="40">
        <f>SUM(Y66:Y67,AG66:AG67,AO66:AO67,AV66:AV67,BC66:BC67,BI66:BI67,BO66:BO67,BV66:BV67,CB66:CB67,CI66:CI67,CO66:CO67,CV66:CV67,DC66:DC67,DI66:DI67,DO66:DO67,DU66:DU67,EB66:EB67,EI66:EI67,EP66:EP67)</f>
        <v>83607354.599999994</v>
      </c>
      <c r="J67" s="40">
        <f>SUM(AA66:AA67,AI66:AI67,AQ66:AQ67,AX66:AX67,BE66:BE67,BK66:BK67,BQ66:BQ67,BX66:BX67,CD66:CD67,CK66:CK67,CQ66:CQ67,CX66:CX67,DE66:DE67,DK66:DK67,DQ66:DQ67,DW66:DW67,ED66:ED67,EK66:EK67,ER66:ER67)</f>
        <v>69688846.25</v>
      </c>
      <c r="K67" s="40">
        <f>SUM(AB66:AB67,AJ66:AJ67,AR66:AR67,AY66:AY67,BR66:BR67,CE66:CE67,CR66:CR67,CY66:CY67,DX66:DX67,EE66:EE67,EL66:EL67,ES66:ES67)</f>
        <v>193947645.40000001</v>
      </c>
      <c r="L67" s="40">
        <f>SUM(AC66:AC67,AK66:AK67)</f>
        <v>0</v>
      </c>
      <c r="M67" s="40">
        <f>SUM(I67:L67)</f>
        <v>347243846.25</v>
      </c>
      <c r="O67" s="85">
        <v>53873</v>
      </c>
      <c r="P67" s="85"/>
      <c r="Q67" s="85">
        <v>53858</v>
      </c>
      <c r="R67" s="40">
        <f t="shared" si="20"/>
        <v>49661212.200000003</v>
      </c>
      <c r="S67" s="40">
        <f t="shared" si="21"/>
        <v>34379687.5</v>
      </c>
      <c r="T67" s="40">
        <f t="shared" si="22"/>
        <v>191218787.80000001</v>
      </c>
      <c r="U67" s="40">
        <f t="shared" si="23"/>
        <v>0</v>
      </c>
      <c r="V67" s="40">
        <f t="shared" si="24"/>
        <v>275259687.5</v>
      </c>
      <c r="X67" s="85">
        <v>53858</v>
      </c>
      <c r="Y67" s="40"/>
      <c r="Z67" s="101"/>
      <c r="AA67" s="40"/>
      <c r="AB67" s="40"/>
      <c r="AC67" s="40"/>
      <c r="AD67" s="40">
        <f t="shared" si="27"/>
        <v>0</v>
      </c>
      <c r="AF67" s="85">
        <v>53858</v>
      </c>
      <c r="AG67" s="40">
        <v>0</v>
      </c>
      <c r="AH67" s="101"/>
      <c r="AI67" s="40">
        <v>4750125</v>
      </c>
      <c r="AJ67" s="40">
        <v>0</v>
      </c>
      <c r="AK67" s="40"/>
      <c r="AL67" s="40">
        <f t="shared" si="6"/>
        <v>4750125</v>
      </c>
      <c r="AN67" s="85">
        <v>53858</v>
      </c>
      <c r="AO67" s="40">
        <v>0</v>
      </c>
      <c r="AQ67" s="40">
        <v>146643.75</v>
      </c>
      <c r="AR67" s="40">
        <v>0</v>
      </c>
      <c r="AS67" s="40">
        <f t="shared" si="7"/>
        <v>146643.75</v>
      </c>
      <c r="AU67" s="85">
        <v>53858</v>
      </c>
      <c r="AV67" s="40">
        <v>0</v>
      </c>
      <c r="AW67" s="40"/>
      <c r="AX67" s="40">
        <v>3425625</v>
      </c>
      <c r="AY67" s="40">
        <v>0</v>
      </c>
      <c r="AZ67" s="40">
        <f t="shared" si="8"/>
        <v>3425625</v>
      </c>
      <c r="BB67" s="85">
        <v>53858</v>
      </c>
      <c r="BC67" s="40">
        <v>0</v>
      </c>
      <c r="BD67" s="40"/>
      <c r="BE67" s="40">
        <v>547000</v>
      </c>
      <c r="BF67" s="40">
        <f t="shared" si="9"/>
        <v>547000</v>
      </c>
      <c r="BH67" s="85">
        <v>53858</v>
      </c>
      <c r="BL67" s="40">
        <f t="shared" si="10"/>
        <v>0</v>
      </c>
      <c r="BN67" s="85">
        <v>53858</v>
      </c>
      <c r="BO67" s="40">
        <v>0</v>
      </c>
      <c r="BP67" s="87">
        <v>0</v>
      </c>
      <c r="BQ67" s="40">
        <v>3760000</v>
      </c>
      <c r="BR67" s="40">
        <v>0</v>
      </c>
      <c r="BS67" s="40">
        <f t="shared" si="1"/>
        <v>3760000</v>
      </c>
      <c r="BT67" s="67"/>
      <c r="BU67" s="85">
        <v>53858</v>
      </c>
      <c r="BW67" s="87"/>
      <c r="BZ67" s="67"/>
      <c r="CA67" s="85">
        <v>53858</v>
      </c>
      <c r="CB67" s="40">
        <v>49661212.200000003</v>
      </c>
      <c r="CC67" s="123" t="s">
        <v>106</v>
      </c>
      <c r="CD67" s="40">
        <v>17573593.75</v>
      </c>
      <c r="CE67" s="40">
        <v>191218787.80000001</v>
      </c>
      <c r="CF67" s="40">
        <f t="shared" si="11"/>
        <v>258453593.75</v>
      </c>
      <c r="CG67" s="67"/>
      <c r="CH67" s="85">
        <v>53858</v>
      </c>
      <c r="CI67" s="40"/>
      <c r="CJ67" s="87">
        <v>0</v>
      </c>
      <c r="CK67" s="40">
        <v>4176700</v>
      </c>
      <c r="CL67" s="40">
        <f t="shared" si="12"/>
        <v>4176700</v>
      </c>
      <c r="CM67" s="67"/>
      <c r="CN67" s="85">
        <v>53858</v>
      </c>
      <c r="CO67" s="40"/>
      <c r="CP67" s="87"/>
      <c r="CQ67" s="40"/>
      <c r="CR67" s="40"/>
      <c r="CS67" s="40">
        <f t="shared" si="13"/>
        <v>0</v>
      </c>
      <c r="CT67" s="40"/>
      <c r="CU67" s="85">
        <v>53858</v>
      </c>
      <c r="CV67" s="40"/>
      <c r="CW67" s="87"/>
      <c r="CX67" s="40"/>
      <c r="CY67" s="40"/>
      <c r="CZ67" s="40">
        <f t="shared" si="3"/>
        <v>0</v>
      </c>
      <c r="DA67" s="85"/>
      <c r="DB67" s="85">
        <v>53858</v>
      </c>
      <c r="DG67" s="67"/>
      <c r="DH67" s="85">
        <v>53858</v>
      </c>
      <c r="DL67" s="40">
        <f t="shared" si="14"/>
        <v>0</v>
      </c>
      <c r="DM67" s="67"/>
      <c r="DN67" s="85">
        <v>53858</v>
      </c>
      <c r="DR67" s="40">
        <f t="shared" si="15"/>
        <v>0</v>
      </c>
      <c r="DS67" s="67"/>
      <c r="DT67" s="85">
        <v>53858</v>
      </c>
      <c r="DY67" s="40">
        <f t="shared" si="16"/>
        <v>0</v>
      </c>
      <c r="DZ67" s="67"/>
      <c r="EA67" s="85">
        <v>53858</v>
      </c>
      <c r="EF67" s="40">
        <f t="shared" si="17"/>
        <v>0</v>
      </c>
      <c r="EG67" s="67"/>
      <c r="EH67" s="85">
        <v>53858</v>
      </c>
      <c r="EM67" s="40">
        <f t="shared" si="18"/>
        <v>0</v>
      </c>
      <c r="EN67" s="67"/>
      <c r="EO67" s="85">
        <v>53858</v>
      </c>
      <c r="ET67" s="40">
        <f t="shared" si="19"/>
        <v>0</v>
      </c>
    </row>
    <row r="68" spans="6:150" x14ac:dyDescent="0.4">
      <c r="F68" s="85">
        <v>54057</v>
      </c>
      <c r="G68" s="85"/>
      <c r="H68" s="85">
        <v>54041</v>
      </c>
      <c r="I68" s="40"/>
      <c r="O68" s="85">
        <v>54057</v>
      </c>
      <c r="P68" s="85"/>
      <c r="Q68" s="85">
        <v>54041</v>
      </c>
      <c r="R68" s="40">
        <f t="shared" si="20"/>
        <v>143868248</v>
      </c>
      <c r="S68" s="40">
        <f t="shared" si="21"/>
        <v>33683556.25</v>
      </c>
      <c r="T68" s="40">
        <f t="shared" si="22"/>
        <v>2866752</v>
      </c>
      <c r="U68" s="40">
        <f t="shared" si="23"/>
        <v>0</v>
      </c>
      <c r="V68" s="40">
        <f t="shared" si="24"/>
        <v>180418556.25</v>
      </c>
      <c r="X68" s="85">
        <v>54041</v>
      </c>
      <c r="Y68" s="40"/>
      <c r="Z68" s="101"/>
      <c r="AA68" s="40"/>
      <c r="AB68" s="40"/>
      <c r="AC68" s="40"/>
      <c r="AD68" s="40">
        <f t="shared" si="27"/>
        <v>0</v>
      </c>
      <c r="AF68" s="85">
        <v>54041</v>
      </c>
      <c r="AG68" s="40">
        <v>0</v>
      </c>
      <c r="AH68" s="101"/>
      <c r="AI68" s="40">
        <v>4750125</v>
      </c>
      <c r="AJ68" s="40">
        <v>0</v>
      </c>
      <c r="AK68" s="40"/>
      <c r="AL68" s="40">
        <f t="shared" si="6"/>
        <v>4750125</v>
      </c>
      <c r="AN68" s="85">
        <v>54041</v>
      </c>
      <c r="AO68" s="40">
        <v>3058248</v>
      </c>
      <c r="AP68" s="101">
        <v>4.9500000000000002E-2</v>
      </c>
      <c r="AQ68" s="40">
        <v>146643.75</v>
      </c>
      <c r="AR68" s="40">
        <v>2866752</v>
      </c>
      <c r="AS68" s="40">
        <f t="shared" si="7"/>
        <v>6071643.75</v>
      </c>
      <c r="AU68" s="85">
        <v>54041</v>
      </c>
      <c r="AV68" s="40">
        <v>0</v>
      </c>
      <c r="AW68" s="40"/>
      <c r="AX68" s="40">
        <v>3425625</v>
      </c>
      <c r="AY68" s="40">
        <v>0</v>
      </c>
      <c r="AZ68" s="40">
        <f t="shared" si="8"/>
        <v>3425625</v>
      </c>
      <c r="BB68" s="85">
        <v>54041</v>
      </c>
      <c r="BC68" s="40">
        <v>3945000</v>
      </c>
      <c r="BD68" s="101">
        <v>0.05</v>
      </c>
      <c r="BE68" s="40">
        <v>547000</v>
      </c>
      <c r="BF68" s="40">
        <f t="shared" si="9"/>
        <v>4492000</v>
      </c>
      <c r="BH68" s="85">
        <v>54041</v>
      </c>
      <c r="BL68" s="40">
        <f t="shared" si="10"/>
        <v>0</v>
      </c>
      <c r="BN68" s="85">
        <v>54041</v>
      </c>
      <c r="BO68" s="40">
        <v>0</v>
      </c>
      <c r="BP68" s="87">
        <v>0</v>
      </c>
      <c r="BQ68" s="40">
        <v>3760000</v>
      </c>
      <c r="BR68" s="40">
        <v>0</v>
      </c>
      <c r="BS68" s="40">
        <f t="shared" si="1"/>
        <v>3760000</v>
      </c>
      <c r="BT68" s="67"/>
      <c r="BU68" s="85">
        <v>54041</v>
      </c>
      <c r="BW68" s="87"/>
      <c r="BZ68" s="67"/>
      <c r="CA68" s="85">
        <v>54041</v>
      </c>
      <c r="CB68" s="40">
        <v>136865000</v>
      </c>
      <c r="CC68" s="123" t="s">
        <v>105</v>
      </c>
      <c r="CD68" s="40">
        <v>16877462.5</v>
      </c>
      <c r="CE68" s="40">
        <v>0</v>
      </c>
      <c r="CF68" s="40">
        <f t="shared" si="11"/>
        <v>153742462.5</v>
      </c>
      <c r="CG68" s="67"/>
      <c r="CH68" s="85">
        <v>54041</v>
      </c>
      <c r="CI68" s="40"/>
      <c r="CJ68" s="87">
        <v>0</v>
      </c>
      <c r="CK68" s="40">
        <v>4176700</v>
      </c>
      <c r="CL68" s="40">
        <f t="shared" si="12"/>
        <v>4176700</v>
      </c>
      <c r="CM68" s="67"/>
      <c r="CN68" s="85">
        <v>54041</v>
      </c>
      <c r="CO68" s="40"/>
      <c r="CP68" s="87"/>
      <c r="CQ68" s="40"/>
      <c r="CR68" s="40"/>
      <c r="CS68" s="40">
        <f t="shared" si="13"/>
        <v>0</v>
      </c>
      <c r="CT68" s="40"/>
      <c r="CU68" s="85">
        <v>54041</v>
      </c>
      <c r="CV68" s="40"/>
      <c r="CW68" s="87"/>
      <c r="CX68" s="40"/>
      <c r="CY68" s="40"/>
      <c r="CZ68" s="40">
        <f t="shared" si="3"/>
        <v>0</v>
      </c>
      <c r="DA68" s="85"/>
      <c r="DB68" s="85">
        <v>54041</v>
      </c>
      <c r="DG68" s="67"/>
      <c r="DH68" s="85">
        <v>54041</v>
      </c>
      <c r="DL68" s="40">
        <f t="shared" si="14"/>
        <v>0</v>
      </c>
      <c r="DM68" s="67"/>
      <c r="DN68" s="85">
        <v>54041</v>
      </c>
      <c r="DR68" s="40">
        <f t="shared" si="15"/>
        <v>0</v>
      </c>
      <c r="DS68" s="67"/>
      <c r="DT68" s="85">
        <v>54041</v>
      </c>
      <c r="DY68" s="40">
        <f t="shared" si="16"/>
        <v>0</v>
      </c>
      <c r="DZ68" s="67"/>
      <c r="EA68" s="85">
        <v>54041</v>
      </c>
      <c r="EF68" s="40">
        <f t="shared" si="17"/>
        <v>0</v>
      </c>
      <c r="EG68" s="67"/>
      <c r="EH68" s="85">
        <v>54041</v>
      </c>
      <c r="EM68" s="40">
        <f t="shared" si="18"/>
        <v>0</v>
      </c>
      <c r="EN68" s="67"/>
      <c r="EO68" s="85">
        <v>54041</v>
      </c>
      <c r="ET68" s="40">
        <f t="shared" si="19"/>
        <v>0</v>
      </c>
    </row>
    <row r="69" spans="6:150" x14ac:dyDescent="0.4">
      <c r="F69" s="85">
        <v>54239</v>
      </c>
      <c r="G69" s="85"/>
      <c r="H69" s="85">
        <v>54224</v>
      </c>
      <c r="I69" s="40">
        <f>SUM(Y68:Y69,AG68:AG69,AO68:AO69,AV68:AV69,BC68:BC69,BI68:BI69,BO68:BO69,BV68:BV69,CB68:CB69,CI68:CI69,CO68:CO69,CV68:CV69,DC68:DC69,DI68:DI69,DO68:DO69,DU68:DU69,EB68:EB69,EI68:EI69,EP68:EP69)</f>
        <v>280733248</v>
      </c>
      <c r="J69" s="40">
        <f>SUM(AA68:AA69,AI68:AI69,AQ68:AQ69,AX68:AX69,BE68:BE69,BK68:BK69,BQ68:BQ69,BX68:BX69,CD68:CD69,CK68:CK69,CQ68:CQ69,CX68:CX69,DE68:DE69,DK68:DK69,DQ68:DQ69,DW68:DW69,ED68:ED69,EK68:EK69,ER68:ER69)</f>
        <v>63643071.25</v>
      </c>
      <c r="K69" s="40">
        <f>SUM(AB68:AB69,AJ68:AJ69,AR68:AR69,AY68:AY69,BR68:BR69,CE68:CE69,CR68:CR69,CY68:CY69,DX68:DX69,EE68:EE69,EL68:EL69,ES68:ES69)</f>
        <v>2866752</v>
      </c>
      <c r="L69" s="40">
        <f>SUM(AC68:AC69,AK68:AK69)</f>
        <v>0</v>
      </c>
      <c r="M69" s="40">
        <f>SUM(I69:L69)</f>
        <v>347243071.25</v>
      </c>
      <c r="O69" s="85">
        <v>54239</v>
      </c>
      <c r="P69" s="85"/>
      <c r="Q69" s="85">
        <v>54224</v>
      </c>
      <c r="R69" s="40">
        <f t="shared" si="20"/>
        <v>136865000</v>
      </c>
      <c r="S69" s="40">
        <f t="shared" si="21"/>
        <v>29959515</v>
      </c>
      <c r="T69" s="40">
        <f t="shared" si="22"/>
        <v>0</v>
      </c>
      <c r="U69" s="40">
        <f t="shared" si="23"/>
        <v>0</v>
      </c>
      <c r="V69" s="40">
        <f t="shared" si="24"/>
        <v>166824515</v>
      </c>
      <c r="X69" s="85">
        <v>54224</v>
      </c>
      <c r="Y69" s="40"/>
      <c r="Z69" s="101"/>
      <c r="AA69" s="40"/>
      <c r="AB69" s="40"/>
      <c r="AC69" s="40"/>
      <c r="AD69" s="40">
        <f t="shared" si="27"/>
        <v>0</v>
      </c>
      <c r="AF69" s="85">
        <v>54224</v>
      </c>
      <c r="AG69" s="40">
        <v>0</v>
      </c>
      <c r="AH69" s="101"/>
      <c r="AI69" s="40">
        <v>4750125</v>
      </c>
      <c r="AJ69" s="40">
        <v>0</v>
      </c>
      <c r="AK69" s="40"/>
      <c r="AL69" s="40">
        <f t="shared" si="6"/>
        <v>4750125</v>
      </c>
      <c r="AN69" s="85">
        <v>54224</v>
      </c>
      <c r="AO69" s="40">
        <v>0</v>
      </c>
      <c r="AQ69" s="40">
        <v>0</v>
      </c>
      <c r="AR69" s="40">
        <v>0</v>
      </c>
      <c r="AS69" s="40">
        <f t="shared" si="7"/>
        <v>0</v>
      </c>
      <c r="AU69" s="85">
        <v>54224</v>
      </c>
      <c r="AV69" s="40">
        <v>0</v>
      </c>
      <c r="AW69" s="40"/>
      <c r="AX69" s="40">
        <v>3425625</v>
      </c>
      <c r="AY69" s="40">
        <v>0</v>
      </c>
      <c r="AZ69" s="40">
        <f t="shared" si="8"/>
        <v>3425625</v>
      </c>
      <c r="BB69" s="85">
        <v>54224</v>
      </c>
      <c r="BC69" s="40">
        <v>0</v>
      </c>
      <c r="BD69" s="40"/>
      <c r="BE69" s="40">
        <v>448375</v>
      </c>
      <c r="BF69" s="40">
        <f t="shared" si="9"/>
        <v>448375</v>
      </c>
      <c r="BH69" s="85">
        <v>54224</v>
      </c>
      <c r="BL69" s="40">
        <f t="shared" si="10"/>
        <v>0</v>
      </c>
      <c r="BN69" s="85">
        <v>54224</v>
      </c>
      <c r="BO69" s="40">
        <v>0</v>
      </c>
      <c r="BP69" s="87">
        <v>0</v>
      </c>
      <c r="BQ69" s="40">
        <v>3760000</v>
      </c>
      <c r="BR69" s="40">
        <v>0</v>
      </c>
      <c r="BS69" s="40">
        <f t="shared" si="1"/>
        <v>3760000</v>
      </c>
      <c r="BT69" s="67"/>
      <c r="BU69" s="85">
        <v>54224</v>
      </c>
      <c r="BW69" s="87"/>
      <c r="BZ69" s="67"/>
      <c r="CA69" s="85">
        <v>54224</v>
      </c>
      <c r="CB69" s="40">
        <v>136865000</v>
      </c>
      <c r="CC69" s="123" t="s">
        <v>105</v>
      </c>
      <c r="CD69" s="40">
        <v>13398690</v>
      </c>
      <c r="CE69" s="40">
        <v>0</v>
      </c>
      <c r="CF69" s="40">
        <f t="shared" si="11"/>
        <v>150263690</v>
      </c>
      <c r="CG69" s="67"/>
      <c r="CH69" s="85">
        <v>54224</v>
      </c>
      <c r="CI69" s="40"/>
      <c r="CJ69" s="87">
        <v>0</v>
      </c>
      <c r="CK69" s="40">
        <v>4176700</v>
      </c>
      <c r="CL69" s="40">
        <f t="shared" si="12"/>
        <v>4176700</v>
      </c>
      <c r="CM69" s="67"/>
      <c r="CN69" s="85">
        <v>54224</v>
      </c>
      <c r="CO69" s="40"/>
      <c r="CP69" s="87"/>
      <c r="CQ69" s="40"/>
      <c r="CR69" s="40"/>
      <c r="CS69" s="40">
        <f t="shared" si="13"/>
        <v>0</v>
      </c>
      <c r="CT69" s="40"/>
      <c r="CU69" s="85">
        <v>54224</v>
      </c>
      <c r="CV69" s="40"/>
      <c r="CW69" s="87"/>
      <c r="CX69" s="40"/>
      <c r="CY69" s="40"/>
      <c r="CZ69" s="40">
        <f t="shared" si="3"/>
        <v>0</v>
      </c>
      <c r="DA69" s="85"/>
      <c r="DB69" s="85">
        <v>54224</v>
      </c>
      <c r="DG69" s="67"/>
      <c r="DH69" s="85">
        <v>54224</v>
      </c>
      <c r="DL69" s="40">
        <f t="shared" si="14"/>
        <v>0</v>
      </c>
      <c r="DM69" s="67"/>
      <c r="DN69" s="85">
        <v>54224</v>
      </c>
      <c r="DR69" s="40">
        <f t="shared" si="15"/>
        <v>0</v>
      </c>
      <c r="DS69" s="67"/>
      <c r="DT69" s="85">
        <v>54224</v>
      </c>
      <c r="DY69" s="40">
        <f t="shared" si="16"/>
        <v>0</v>
      </c>
      <c r="DZ69" s="67"/>
      <c r="EA69" s="85">
        <v>54224</v>
      </c>
      <c r="EF69" s="40">
        <f t="shared" si="17"/>
        <v>0</v>
      </c>
      <c r="EG69" s="67"/>
      <c r="EH69" s="85">
        <v>54224</v>
      </c>
      <c r="EM69" s="40">
        <f t="shared" si="18"/>
        <v>0</v>
      </c>
      <c r="EN69" s="67"/>
      <c r="EO69" s="85">
        <v>54224</v>
      </c>
      <c r="ET69" s="40">
        <f t="shared" si="19"/>
        <v>0</v>
      </c>
    </row>
    <row r="70" spans="6:150" x14ac:dyDescent="0.4">
      <c r="F70" s="85">
        <v>54423</v>
      </c>
      <c r="G70" s="85"/>
      <c r="H70" s="85">
        <v>54407</v>
      </c>
      <c r="I70" s="40"/>
      <c r="O70" s="85">
        <v>54423</v>
      </c>
      <c r="P70" s="85"/>
      <c r="Q70" s="85">
        <v>54407</v>
      </c>
      <c r="R70" s="40">
        <f t="shared" si="20"/>
        <v>148060000</v>
      </c>
      <c r="S70" s="40">
        <f t="shared" si="21"/>
        <v>26480748.75</v>
      </c>
      <c r="T70" s="40">
        <f t="shared" si="22"/>
        <v>0</v>
      </c>
      <c r="U70" s="40">
        <f t="shared" si="23"/>
        <v>0</v>
      </c>
      <c r="V70" s="40">
        <f t="shared" si="24"/>
        <v>174540748.75</v>
      </c>
      <c r="X70" s="85">
        <v>54407</v>
      </c>
      <c r="Y70" s="40"/>
      <c r="Z70" s="101"/>
      <c r="AA70" s="40"/>
      <c r="AB70" s="40"/>
      <c r="AC70" s="40"/>
      <c r="AD70" s="40">
        <f t="shared" si="27"/>
        <v>0</v>
      </c>
      <c r="AF70" s="85">
        <v>54407</v>
      </c>
      <c r="AG70" s="40">
        <v>0</v>
      </c>
      <c r="AH70" s="101"/>
      <c r="AI70" s="40">
        <v>4750125</v>
      </c>
      <c r="AJ70" s="40">
        <v>0</v>
      </c>
      <c r="AK70" s="40"/>
      <c r="AL70" s="40">
        <f t="shared" si="6"/>
        <v>4750125</v>
      </c>
      <c r="AN70" s="85">
        <v>54407</v>
      </c>
      <c r="AO70" s="40">
        <v>0</v>
      </c>
      <c r="AQ70" s="40">
        <v>0</v>
      </c>
      <c r="AR70" s="40">
        <v>0</v>
      </c>
      <c r="AS70" s="40">
        <f t="shared" si="7"/>
        <v>0</v>
      </c>
      <c r="AU70" s="85">
        <v>54407</v>
      </c>
      <c r="AV70" s="40">
        <v>0</v>
      </c>
      <c r="AW70" s="40"/>
      <c r="AX70" s="40">
        <v>3425625</v>
      </c>
      <c r="AY70" s="40">
        <v>0</v>
      </c>
      <c r="AZ70" s="40">
        <f t="shared" si="8"/>
        <v>3425625</v>
      </c>
      <c r="BB70" s="85">
        <v>54407</v>
      </c>
      <c r="BC70" s="40">
        <v>4145000</v>
      </c>
      <c r="BD70" s="101">
        <v>0.05</v>
      </c>
      <c r="BE70" s="40">
        <v>448375</v>
      </c>
      <c r="BF70" s="40">
        <f t="shared" si="9"/>
        <v>4593375</v>
      </c>
      <c r="BH70" s="85">
        <v>54407</v>
      </c>
      <c r="BL70" s="40">
        <f t="shared" si="10"/>
        <v>0</v>
      </c>
      <c r="BN70" s="85">
        <v>54407</v>
      </c>
      <c r="BO70" s="40">
        <v>0</v>
      </c>
      <c r="BP70" s="87">
        <v>0</v>
      </c>
      <c r="BQ70" s="40">
        <v>3760000</v>
      </c>
      <c r="BR70" s="40">
        <v>0</v>
      </c>
      <c r="BS70" s="40">
        <f t="shared" si="1"/>
        <v>3760000</v>
      </c>
      <c r="BT70" s="67"/>
      <c r="BU70" s="85">
        <v>54407</v>
      </c>
      <c r="BW70" s="87"/>
      <c r="BZ70" s="67"/>
      <c r="CA70" s="85">
        <v>54407</v>
      </c>
      <c r="CB70" s="40">
        <v>143915000</v>
      </c>
      <c r="CC70" s="123" t="s">
        <v>105</v>
      </c>
      <c r="CD70" s="40">
        <v>9919923.75</v>
      </c>
      <c r="CE70" s="40">
        <v>0</v>
      </c>
      <c r="CF70" s="40">
        <f t="shared" si="11"/>
        <v>153834923.75</v>
      </c>
      <c r="CG70" s="67"/>
      <c r="CH70" s="85">
        <v>54407</v>
      </c>
      <c r="CI70" s="40"/>
      <c r="CJ70" s="87">
        <v>0</v>
      </c>
      <c r="CK70" s="40">
        <v>4176700</v>
      </c>
      <c r="CL70" s="40">
        <f t="shared" si="12"/>
        <v>4176700</v>
      </c>
      <c r="CM70" s="67"/>
      <c r="CN70" s="85">
        <v>54407</v>
      </c>
      <c r="CO70" s="40"/>
      <c r="CP70" s="87"/>
      <c r="CQ70" s="40"/>
      <c r="CR70" s="40"/>
      <c r="CS70" s="40">
        <f t="shared" si="13"/>
        <v>0</v>
      </c>
      <c r="CT70" s="40"/>
      <c r="CU70" s="85">
        <v>54407</v>
      </c>
      <c r="CV70" s="40"/>
      <c r="CW70" s="87"/>
      <c r="CX70" s="40"/>
      <c r="CY70" s="40"/>
      <c r="CZ70" s="40">
        <f t="shared" si="3"/>
        <v>0</v>
      </c>
      <c r="DA70" s="85"/>
      <c r="DB70" s="85">
        <v>54407</v>
      </c>
      <c r="DG70" s="67"/>
      <c r="DH70" s="85">
        <v>54407</v>
      </c>
      <c r="DL70" s="40">
        <f t="shared" si="14"/>
        <v>0</v>
      </c>
      <c r="DM70" s="67"/>
      <c r="DN70" s="85">
        <v>54407</v>
      </c>
      <c r="DR70" s="40">
        <f t="shared" si="15"/>
        <v>0</v>
      </c>
      <c r="DS70" s="67"/>
      <c r="DT70" s="85">
        <v>54407</v>
      </c>
      <c r="DY70" s="40">
        <f t="shared" si="16"/>
        <v>0</v>
      </c>
      <c r="DZ70" s="67"/>
      <c r="EA70" s="85">
        <v>54407</v>
      </c>
      <c r="EF70" s="40">
        <f t="shared" si="17"/>
        <v>0</v>
      </c>
      <c r="EG70" s="67"/>
      <c r="EH70" s="85">
        <v>54407</v>
      </c>
      <c r="EM70" s="40">
        <f t="shared" si="18"/>
        <v>0</v>
      </c>
      <c r="EN70" s="67"/>
      <c r="EO70" s="85">
        <v>54407</v>
      </c>
      <c r="EP70" s="67"/>
      <c r="EQ70" s="67"/>
      <c r="ER70" s="67"/>
      <c r="ES70" s="67"/>
      <c r="ET70" s="40">
        <f t="shared" si="19"/>
        <v>0</v>
      </c>
    </row>
    <row r="71" spans="6:150" x14ac:dyDescent="0.4">
      <c r="F71" s="85">
        <v>54604</v>
      </c>
      <c r="G71" s="85"/>
      <c r="H71" s="85">
        <v>54589</v>
      </c>
      <c r="I71" s="40">
        <f>SUM(Y70:Y71,AG70:AG71,AO70:AO71,AV70:AV71,BC70:BC71,BI70:BI71,BO70:BO71,BV70:BV71,CB70:CB71,CI70:CI71,CO70:CO71,CV70:CV71,DC70:DC71,DI70:DI71,DO70:DO71,DU70:DU71,EB70:EB71,EI70:EI71,EP70:EP71)</f>
        <v>293154595.30000001</v>
      </c>
      <c r="J71" s="40">
        <f>SUM(AA70:AA71,AI70:AI71,AQ70:AQ71,AX70:AX71,BE70:BE71,BK70:BK71,BQ70:BQ71,BX70:BX71,CD70:CD71,CK70:CK71,CQ70:CQ71,CX70:CX71,DE70:DE71,DK70:DK71,DQ70:DQ71,DW70:DW71,ED70:ED71,EK70:EK71,ER70:ER71)</f>
        <v>49200098.75</v>
      </c>
      <c r="K71" s="40">
        <f>SUM(AB70:AB71,AJ70:AJ71,AR70:AR71,AY70:AY71,BR70:BR71,CE70:CE71,CR70:CR71,CY70:CY71,DX70:DX71,EE70:EE71,EL70:EL71,ES70:ES71)</f>
        <v>4883964</v>
      </c>
      <c r="L71" s="40">
        <f>SUM(AC70:AC71,AK70:AK71)</f>
        <v>0</v>
      </c>
      <c r="M71" s="40">
        <f>SUM(I71:L71)</f>
        <v>347238658.05000001</v>
      </c>
      <c r="O71" s="85">
        <v>54604</v>
      </c>
      <c r="P71" s="85"/>
      <c r="Q71" s="85">
        <v>54589</v>
      </c>
      <c r="R71" s="40">
        <f t="shared" si="20"/>
        <v>145094595.30000001</v>
      </c>
      <c r="S71" s="40">
        <f t="shared" si="21"/>
        <v>22719350</v>
      </c>
      <c r="T71" s="40">
        <f t="shared" si="22"/>
        <v>4883964</v>
      </c>
      <c r="U71" s="40">
        <f t="shared" si="23"/>
        <v>0</v>
      </c>
      <c r="V71" s="40">
        <f t="shared" si="24"/>
        <v>172697909.30000001</v>
      </c>
      <c r="X71" s="85">
        <v>54589</v>
      </c>
      <c r="Y71" s="40"/>
      <c r="Z71" s="101"/>
      <c r="AA71" s="40"/>
      <c r="AB71" s="40"/>
      <c r="AC71" s="40"/>
      <c r="AD71" s="40">
        <f t="shared" si="27"/>
        <v>0</v>
      </c>
      <c r="AF71" s="85">
        <v>54589</v>
      </c>
      <c r="AG71" s="40">
        <v>0</v>
      </c>
      <c r="AH71" s="101"/>
      <c r="AI71" s="40">
        <v>4750125</v>
      </c>
      <c r="AJ71" s="40">
        <v>0</v>
      </c>
      <c r="AK71" s="40"/>
      <c r="AL71" s="40">
        <f t="shared" si="6"/>
        <v>4750125</v>
      </c>
      <c r="AN71" s="85">
        <v>54589</v>
      </c>
      <c r="AO71" s="40">
        <v>1184595.3</v>
      </c>
      <c r="AP71" s="101">
        <v>5.2499999999999998E-2</v>
      </c>
      <c r="AQ71" s="40">
        <v>0</v>
      </c>
      <c r="AR71" s="40">
        <v>4883964</v>
      </c>
      <c r="AS71" s="40">
        <f t="shared" si="7"/>
        <v>6068559.2999999998</v>
      </c>
      <c r="AU71" s="85">
        <v>54589</v>
      </c>
      <c r="AV71" s="40">
        <v>0</v>
      </c>
      <c r="AW71" s="40"/>
      <c r="AX71" s="40">
        <v>3425625</v>
      </c>
      <c r="AY71" s="40">
        <v>0</v>
      </c>
      <c r="AZ71" s="40">
        <f t="shared" si="8"/>
        <v>3425625</v>
      </c>
      <c r="BB71" s="85">
        <v>54589</v>
      </c>
      <c r="BC71" s="40">
        <v>0</v>
      </c>
      <c r="BD71" s="40"/>
      <c r="BE71" s="40">
        <v>344750</v>
      </c>
      <c r="BF71" s="40">
        <f t="shared" si="9"/>
        <v>344750</v>
      </c>
      <c r="BH71" s="85">
        <v>54589</v>
      </c>
      <c r="BL71" s="40">
        <f t="shared" si="10"/>
        <v>0</v>
      </c>
      <c r="BN71" s="85">
        <v>54589</v>
      </c>
      <c r="BO71" s="40">
        <v>0</v>
      </c>
      <c r="BP71" s="87">
        <v>0</v>
      </c>
      <c r="BQ71" s="40">
        <v>3760000</v>
      </c>
      <c r="BR71" s="40">
        <v>0</v>
      </c>
      <c r="BS71" s="40">
        <f t="shared" si="1"/>
        <v>3760000</v>
      </c>
      <c r="BT71" s="67"/>
      <c r="BU71" s="85">
        <v>54589</v>
      </c>
      <c r="BV71" s="67"/>
      <c r="BW71" s="94"/>
      <c r="BX71" s="67"/>
      <c r="BY71" s="67"/>
      <c r="BZ71" s="67"/>
      <c r="CA71" s="85">
        <v>54589</v>
      </c>
      <c r="CB71" s="40">
        <v>143910000</v>
      </c>
      <c r="CC71" s="123" t="s">
        <v>105</v>
      </c>
      <c r="CD71" s="40">
        <v>6262150</v>
      </c>
      <c r="CE71" s="40">
        <v>0</v>
      </c>
      <c r="CF71" s="40">
        <f t="shared" si="11"/>
        <v>150172150</v>
      </c>
      <c r="CG71" s="67"/>
      <c r="CH71" s="85">
        <v>54589</v>
      </c>
      <c r="CI71" s="40"/>
      <c r="CJ71" s="87">
        <v>0</v>
      </c>
      <c r="CK71" s="40">
        <v>4176700</v>
      </c>
      <c r="CL71" s="40">
        <f t="shared" si="12"/>
        <v>4176700</v>
      </c>
      <c r="CM71" s="67"/>
      <c r="CN71" s="85">
        <v>54589</v>
      </c>
      <c r="CO71" s="67"/>
      <c r="CP71" s="87"/>
      <c r="CQ71" s="67"/>
      <c r="CR71" s="67"/>
      <c r="CS71" s="40">
        <f t="shared" si="13"/>
        <v>0</v>
      </c>
      <c r="CT71" s="73"/>
      <c r="CU71" s="85">
        <v>54589</v>
      </c>
      <c r="CV71" s="67"/>
      <c r="CW71" s="87"/>
      <c r="CX71" s="67"/>
      <c r="CY71" s="67"/>
      <c r="CZ71" s="40">
        <f t="shared" si="3"/>
        <v>0</v>
      </c>
      <c r="DA71" s="85"/>
      <c r="DB71" s="85">
        <v>54589</v>
      </c>
      <c r="DC71" s="67"/>
      <c r="DD71" s="67"/>
      <c r="DE71" s="67"/>
      <c r="DF71" s="67"/>
      <c r="DG71" s="67"/>
      <c r="DH71" s="85">
        <v>54589</v>
      </c>
      <c r="DI71" s="67"/>
      <c r="DJ71" s="67"/>
      <c r="DK71" s="67"/>
      <c r="DL71" s="40">
        <f t="shared" si="14"/>
        <v>0</v>
      </c>
      <c r="DM71" s="67"/>
      <c r="DN71" s="85">
        <v>54589</v>
      </c>
      <c r="DO71" s="67"/>
      <c r="DP71" s="67"/>
      <c r="DQ71" s="67"/>
      <c r="DR71" s="40">
        <f t="shared" si="15"/>
        <v>0</v>
      </c>
      <c r="DS71" s="67"/>
      <c r="DT71" s="85">
        <v>54589</v>
      </c>
      <c r="DU71" s="67"/>
      <c r="DV71" s="67"/>
      <c r="DW71" s="67"/>
      <c r="DX71" s="67"/>
      <c r="DY71" s="40">
        <f t="shared" si="16"/>
        <v>0</v>
      </c>
      <c r="DZ71" s="67"/>
      <c r="EA71" s="85">
        <v>54589</v>
      </c>
      <c r="EB71" s="67"/>
      <c r="EC71" s="67"/>
      <c r="ED71" s="67"/>
      <c r="EE71" s="67"/>
      <c r="EF71" s="40">
        <f t="shared" si="17"/>
        <v>0</v>
      </c>
      <c r="EG71" s="67"/>
      <c r="EH71" s="85">
        <v>54589</v>
      </c>
      <c r="EI71" s="67"/>
      <c r="EJ71" s="67"/>
      <c r="EK71" s="67"/>
      <c r="EL71" s="67"/>
      <c r="EM71" s="40">
        <f t="shared" si="18"/>
        <v>0</v>
      </c>
      <c r="EN71" s="67"/>
      <c r="EO71" s="85">
        <v>54589</v>
      </c>
      <c r="EP71" s="67"/>
      <c r="EQ71" s="67"/>
      <c r="ER71" s="67"/>
      <c r="ES71" s="67"/>
      <c r="ET71" s="40">
        <f t="shared" si="19"/>
        <v>0</v>
      </c>
    </row>
    <row r="72" spans="6:150" x14ac:dyDescent="0.4">
      <c r="F72" s="85">
        <v>54788</v>
      </c>
      <c r="G72" s="85"/>
      <c r="H72" s="85">
        <v>54772</v>
      </c>
      <c r="I72" s="40"/>
      <c r="O72" s="85">
        <v>54788</v>
      </c>
      <c r="P72" s="85"/>
      <c r="Q72" s="85">
        <v>54772</v>
      </c>
      <c r="R72" s="40">
        <f t="shared" si="20"/>
        <v>141756263.55000001</v>
      </c>
      <c r="S72" s="40">
        <f t="shared" si="21"/>
        <v>19061707.5</v>
      </c>
      <c r="T72" s="40">
        <f t="shared" si="22"/>
        <v>43898910.299999997</v>
      </c>
      <c r="U72" s="40">
        <f t="shared" si="23"/>
        <v>0</v>
      </c>
      <c r="V72" s="40">
        <f t="shared" si="24"/>
        <v>204716881.35000002</v>
      </c>
      <c r="X72" s="85">
        <v>54772</v>
      </c>
      <c r="Y72" s="40"/>
      <c r="Z72" s="101"/>
      <c r="AA72" s="40"/>
      <c r="AB72" s="40"/>
      <c r="AC72" s="40"/>
      <c r="AD72" s="40">
        <f t="shared" si="27"/>
        <v>0</v>
      </c>
      <c r="AF72" s="85">
        <v>54772</v>
      </c>
      <c r="AG72" s="40">
        <v>0</v>
      </c>
      <c r="AH72" s="101"/>
      <c r="AI72" s="40">
        <v>4750125</v>
      </c>
      <c r="AJ72" s="40">
        <v>0</v>
      </c>
      <c r="AK72" s="40"/>
      <c r="AL72" s="40">
        <f t="shared" si="6"/>
        <v>4750125</v>
      </c>
      <c r="AN72" s="85">
        <v>54772</v>
      </c>
      <c r="AO72" s="40">
        <v>10311263.550000001</v>
      </c>
      <c r="AP72" s="101">
        <v>5.2499999999999998E-2</v>
      </c>
      <c r="AQ72" s="40">
        <v>0</v>
      </c>
      <c r="AR72" s="40">
        <v>43898910.299999997</v>
      </c>
      <c r="AS72" s="40">
        <f t="shared" si="7"/>
        <v>54210173.849999994</v>
      </c>
      <c r="AU72" s="85">
        <v>54772</v>
      </c>
      <c r="AV72" s="40">
        <v>0</v>
      </c>
      <c r="AW72" s="40"/>
      <c r="AX72" s="40">
        <v>3425625</v>
      </c>
      <c r="AY72" s="40">
        <v>0</v>
      </c>
      <c r="AZ72" s="40">
        <f t="shared" si="8"/>
        <v>3425625</v>
      </c>
      <c r="BB72" s="85">
        <v>54772</v>
      </c>
      <c r="BC72" s="40">
        <v>4470000</v>
      </c>
      <c r="BD72" s="101">
        <v>0.05</v>
      </c>
      <c r="BE72" s="40">
        <v>344750</v>
      </c>
      <c r="BF72" s="40">
        <f t="shared" si="9"/>
        <v>4814750</v>
      </c>
      <c r="BH72" s="85">
        <v>54772</v>
      </c>
      <c r="BL72" s="40">
        <f t="shared" si="10"/>
        <v>0</v>
      </c>
      <c r="BN72" s="85">
        <v>54772</v>
      </c>
      <c r="BO72" s="40">
        <v>0</v>
      </c>
      <c r="BP72" s="87">
        <v>0</v>
      </c>
      <c r="BQ72" s="40">
        <v>3760000</v>
      </c>
      <c r="BR72" s="40">
        <v>0</v>
      </c>
      <c r="BS72" s="40">
        <f t="shared" si="1"/>
        <v>3760000</v>
      </c>
      <c r="BU72" s="85">
        <v>54772</v>
      </c>
      <c r="BW72" s="87"/>
      <c r="CA72" s="85">
        <v>54772</v>
      </c>
      <c r="CB72" s="40">
        <v>51030000</v>
      </c>
      <c r="CC72" s="123" t="s">
        <v>105</v>
      </c>
      <c r="CD72" s="40">
        <v>2604507.5</v>
      </c>
      <c r="CE72" s="40">
        <v>0</v>
      </c>
      <c r="CF72" s="40">
        <f t="shared" si="11"/>
        <v>53634507.5</v>
      </c>
      <c r="CH72" s="85">
        <v>54772</v>
      </c>
      <c r="CI72" s="40">
        <v>75945000</v>
      </c>
      <c r="CJ72" s="87">
        <v>5.5E-2</v>
      </c>
      <c r="CK72" s="40">
        <v>4176700</v>
      </c>
      <c r="CL72" s="40">
        <f t="shared" si="12"/>
        <v>80121700</v>
      </c>
      <c r="CN72" s="85">
        <v>54772</v>
      </c>
      <c r="CP72" s="87"/>
      <c r="CS72" s="40">
        <f t="shared" si="13"/>
        <v>0</v>
      </c>
      <c r="CU72" s="85">
        <v>54772</v>
      </c>
      <c r="CW72" s="87"/>
      <c r="CZ72" s="40">
        <f t="shared" si="3"/>
        <v>0</v>
      </c>
      <c r="DA72" s="85"/>
      <c r="DB72" s="85">
        <v>54772</v>
      </c>
      <c r="DC72" s="67"/>
      <c r="DD72" s="67"/>
      <c r="DE72" s="67"/>
      <c r="DF72" s="67"/>
      <c r="DH72" s="85">
        <v>54772</v>
      </c>
      <c r="DI72" s="67"/>
      <c r="DJ72" s="67"/>
      <c r="DK72" s="67"/>
      <c r="DL72" s="40">
        <f t="shared" si="14"/>
        <v>0</v>
      </c>
      <c r="DN72" s="85">
        <v>54772</v>
      </c>
      <c r="DO72" s="67"/>
      <c r="DP72" s="67"/>
      <c r="DQ72" s="67"/>
      <c r="DR72" s="40">
        <f t="shared" si="15"/>
        <v>0</v>
      </c>
      <c r="DT72" s="85">
        <v>54772</v>
      </c>
      <c r="DU72" s="67"/>
      <c r="DV72" s="67"/>
      <c r="DW72" s="67"/>
      <c r="DX72" s="67"/>
      <c r="DY72" s="40">
        <f t="shared" si="16"/>
        <v>0</v>
      </c>
      <c r="EA72" s="85">
        <v>54772</v>
      </c>
      <c r="EB72" s="67"/>
      <c r="EC72" s="67"/>
      <c r="ED72" s="67"/>
      <c r="EE72" s="67"/>
      <c r="EF72" s="40">
        <f t="shared" si="17"/>
        <v>0</v>
      </c>
      <c r="EH72" s="85">
        <v>54772</v>
      </c>
      <c r="EI72" s="67"/>
      <c r="EJ72" s="67"/>
      <c r="EK72" s="67"/>
      <c r="EL72" s="67"/>
      <c r="EM72" s="40">
        <f t="shared" si="18"/>
        <v>0</v>
      </c>
      <c r="EO72" s="85">
        <v>54772</v>
      </c>
      <c r="EP72" s="67"/>
      <c r="EQ72" s="67"/>
      <c r="ER72" s="67"/>
      <c r="ES72" s="67"/>
      <c r="ET72" s="40">
        <f t="shared" si="19"/>
        <v>0</v>
      </c>
    </row>
    <row r="73" spans="6:150" x14ac:dyDescent="0.4">
      <c r="F73" s="85">
        <v>54969</v>
      </c>
      <c r="G73" s="85"/>
      <c r="H73" s="85">
        <v>54954</v>
      </c>
      <c r="I73" s="40">
        <f>SUM(Y72:Y73,AG72:AG73,AO72:AO73,AV72:AV73,BC72:BC73,BI72:BI73,BO72:BO73,BV72:BV73,CB72:CB73,CI72:CI73,CO72:CO73,CV72:CV73,DC72:DC73,DI72:DI73,DO72:DO73,DU72:DU73,EB72:EB73,EI72:EI73,EP72:EP73)</f>
        <v>268716263.55000001</v>
      </c>
      <c r="J73" s="40">
        <f>SUM(AA72:AA73,AI72:AI73,AQ72:AQ73,AX72:AX73,BE72:BE73,BK72:BK73,BQ72:BQ73,BX72:BX73,CD72:CD73,CK72:CK73,CQ72:CQ73,CX72:CX73,DE72:DE73,DK72:DK73,DQ72:DQ73,DW72:DW73,ED72:ED73,EK72:EK73,ER72:ER73)</f>
        <v>34620856.25</v>
      </c>
      <c r="K73" s="40">
        <f>SUM(AB72:AB73,AJ72:AJ73,AR72:AR73,AY72:AY73,BR72:BR73,CE72:CE73,CR72:CR73,CY72:CY73,DX72:DX73,EE72:EE73,EL72:EL73,ES72:ES73)</f>
        <v>43898910.299999997</v>
      </c>
      <c r="L73" s="40">
        <f>SUM(AC72:AC73,AK72:AK73)</f>
        <v>0</v>
      </c>
      <c r="M73" s="40">
        <f>SUM(I73:L73)</f>
        <v>347236030.10000002</v>
      </c>
      <c r="O73" s="85">
        <v>54969</v>
      </c>
      <c r="P73" s="85"/>
      <c r="Q73" s="85">
        <v>54954</v>
      </c>
      <c r="R73" s="40">
        <f t="shared" si="20"/>
        <v>126960000</v>
      </c>
      <c r="S73" s="40">
        <f t="shared" si="21"/>
        <v>15559148.75</v>
      </c>
      <c r="T73" s="40">
        <f t="shared" si="22"/>
        <v>0</v>
      </c>
      <c r="U73" s="40">
        <f t="shared" si="23"/>
        <v>0</v>
      </c>
      <c r="V73" s="40">
        <f t="shared" si="24"/>
        <v>142519148.75</v>
      </c>
      <c r="X73" s="85">
        <v>54954</v>
      </c>
      <c r="Y73" s="40"/>
      <c r="Z73" s="101"/>
      <c r="AA73" s="40"/>
      <c r="AB73" s="40"/>
      <c r="AC73" s="40"/>
      <c r="AD73" s="40">
        <f t="shared" ref="AD73:AD93" si="28">SUM(Y73,AA73,AB73,AC73)</f>
        <v>0</v>
      </c>
      <c r="AF73" s="85">
        <v>54954</v>
      </c>
      <c r="AG73" s="40">
        <v>0</v>
      </c>
      <c r="AH73" s="101"/>
      <c r="AI73" s="40">
        <v>4750125</v>
      </c>
      <c r="AJ73" s="40">
        <v>0</v>
      </c>
      <c r="AK73" s="40"/>
      <c r="AL73" s="40">
        <f t="shared" si="6"/>
        <v>4750125</v>
      </c>
      <c r="AN73" s="85">
        <v>54954</v>
      </c>
      <c r="AO73" s="40">
        <v>0</v>
      </c>
      <c r="AQ73" s="40">
        <v>0</v>
      </c>
      <c r="AR73" s="40">
        <v>0</v>
      </c>
      <c r="AS73" s="40">
        <f t="shared" si="7"/>
        <v>0</v>
      </c>
      <c r="AU73" s="85">
        <v>54954</v>
      </c>
      <c r="AV73" s="40">
        <v>0</v>
      </c>
      <c r="AW73" s="40"/>
      <c r="AX73" s="40">
        <v>3425625</v>
      </c>
      <c r="AY73" s="40">
        <v>0</v>
      </c>
      <c r="AZ73" s="40">
        <f t="shared" si="8"/>
        <v>3425625</v>
      </c>
      <c r="BB73" s="85">
        <v>54954</v>
      </c>
      <c r="BC73" s="40">
        <v>0</v>
      </c>
      <c r="BD73" s="40"/>
      <c r="BE73" s="40">
        <v>233000</v>
      </c>
      <c r="BF73" s="40">
        <f t="shared" si="9"/>
        <v>233000</v>
      </c>
      <c r="BH73" s="85">
        <v>54954</v>
      </c>
      <c r="BL73" s="40">
        <f t="shared" si="10"/>
        <v>0</v>
      </c>
      <c r="BN73" s="85">
        <v>54954</v>
      </c>
      <c r="BO73" s="40">
        <v>0</v>
      </c>
      <c r="BP73" s="87">
        <v>0</v>
      </c>
      <c r="BQ73" s="40">
        <v>3760000</v>
      </c>
      <c r="BR73" s="40">
        <v>0</v>
      </c>
      <c r="BS73" s="40">
        <f t="shared" ref="BS73:BS93" si="29">SUM(BO73,BQ73,BR73)</f>
        <v>3760000</v>
      </c>
      <c r="BU73" s="85">
        <v>54954</v>
      </c>
      <c r="BW73" s="87"/>
      <c r="CA73" s="85">
        <v>54954</v>
      </c>
      <c r="CB73" s="40">
        <v>51025000</v>
      </c>
      <c r="CC73" s="123" t="s">
        <v>105</v>
      </c>
      <c r="CD73" s="40">
        <v>1302186.25</v>
      </c>
      <c r="CE73" s="40">
        <v>0</v>
      </c>
      <c r="CF73" s="40">
        <f t="shared" si="11"/>
        <v>52327186.25</v>
      </c>
      <c r="CH73" s="85">
        <v>54954</v>
      </c>
      <c r="CI73" s="40">
        <v>75935000</v>
      </c>
      <c r="CJ73" s="87">
        <v>5.5E-2</v>
      </c>
      <c r="CK73" s="40">
        <v>2088212.5</v>
      </c>
      <c r="CL73" s="40">
        <f t="shared" si="12"/>
        <v>78023212.5</v>
      </c>
      <c r="CN73" s="85">
        <v>54954</v>
      </c>
      <c r="CP73" s="87"/>
      <c r="CS73" s="40">
        <f t="shared" si="13"/>
        <v>0</v>
      </c>
      <c r="CU73" s="85">
        <v>54954</v>
      </c>
      <c r="CW73" s="87"/>
      <c r="CZ73" s="40">
        <f t="shared" ref="CZ73:CZ93" si="30">SUM(CV73,CX73,CY73)</f>
        <v>0</v>
      </c>
      <c r="DA73" s="85"/>
      <c r="DB73" s="85">
        <v>54954</v>
      </c>
      <c r="DH73" s="85">
        <v>54954</v>
      </c>
      <c r="DL73" s="40">
        <f t="shared" si="14"/>
        <v>0</v>
      </c>
      <c r="DN73" s="85">
        <v>54954</v>
      </c>
      <c r="DR73" s="40">
        <f t="shared" si="15"/>
        <v>0</v>
      </c>
      <c r="DT73" s="85">
        <v>54954</v>
      </c>
      <c r="DY73" s="40">
        <f t="shared" si="16"/>
        <v>0</v>
      </c>
      <c r="EA73" s="85">
        <v>54954</v>
      </c>
      <c r="EF73" s="40">
        <f t="shared" si="17"/>
        <v>0</v>
      </c>
      <c r="EH73" s="85">
        <v>54954</v>
      </c>
      <c r="EI73" s="67"/>
      <c r="EJ73" s="67"/>
      <c r="EK73" s="67"/>
      <c r="EL73" s="67"/>
      <c r="EM73" s="40">
        <f t="shared" si="18"/>
        <v>0</v>
      </c>
      <c r="EO73" s="85">
        <v>54954</v>
      </c>
      <c r="EP73" s="67"/>
      <c r="EQ73" s="67"/>
      <c r="ER73" s="67"/>
      <c r="ES73" s="67"/>
      <c r="ET73" s="40">
        <f t="shared" si="19"/>
        <v>0</v>
      </c>
    </row>
    <row r="74" spans="6:150" x14ac:dyDescent="0.4">
      <c r="F74" s="85">
        <v>55153</v>
      </c>
      <c r="G74" s="85"/>
      <c r="H74" s="85">
        <v>55137</v>
      </c>
      <c r="I74" s="40"/>
      <c r="O74" s="85">
        <v>55153</v>
      </c>
      <c r="P74" s="85"/>
      <c r="Q74" s="85">
        <v>55137</v>
      </c>
      <c r="R74" s="40">
        <f t="shared" si="20"/>
        <v>25645714.300000001</v>
      </c>
      <c r="S74" s="40">
        <f t="shared" si="21"/>
        <v>12168750</v>
      </c>
      <c r="T74" s="40">
        <f t="shared" si="22"/>
        <v>170938578.30000001</v>
      </c>
      <c r="U74" s="40">
        <f t="shared" si="23"/>
        <v>0</v>
      </c>
      <c r="V74" s="40">
        <f t="shared" si="24"/>
        <v>208753042.60000002</v>
      </c>
      <c r="X74" s="85">
        <v>55137</v>
      </c>
      <c r="Y74" s="40"/>
      <c r="Z74" s="101"/>
      <c r="AA74" s="40"/>
      <c r="AB74" s="40"/>
      <c r="AC74" s="40"/>
      <c r="AD74" s="40">
        <f t="shared" si="28"/>
        <v>0</v>
      </c>
      <c r="AF74" s="85">
        <v>55137</v>
      </c>
      <c r="AG74" s="40">
        <v>0</v>
      </c>
      <c r="AH74" s="101"/>
      <c r="AI74" s="40">
        <v>4750125</v>
      </c>
      <c r="AJ74" s="40">
        <v>0</v>
      </c>
      <c r="AK74" s="40"/>
      <c r="AL74" s="40">
        <f t="shared" si="6"/>
        <v>4750125</v>
      </c>
      <c r="AN74" s="85">
        <v>55137</v>
      </c>
      <c r="AO74" s="40">
        <v>612114.30000000005</v>
      </c>
      <c r="AP74" s="101">
        <v>5.2499999999999998E-2</v>
      </c>
      <c r="AQ74" s="40">
        <v>0</v>
      </c>
      <c r="AR74" s="40">
        <v>2777178.3</v>
      </c>
      <c r="AS74" s="40">
        <f t="shared" si="7"/>
        <v>3389292.5999999996</v>
      </c>
      <c r="AU74" s="85">
        <v>55137</v>
      </c>
      <c r="AV74" s="40">
        <v>0</v>
      </c>
      <c r="AW74" s="40"/>
      <c r="AX74" s="40">
        <v>3425625</v>
      </c>
      <c r="AY74" s="40">
        <v>0</v>
      </c>
      <c r="AZ74" s="40">
        <f t="shared" si="8"/>
        <v>3425625</v>
      </c>
      <c r="BB74" s="85">
        <v>55137</v>
      </c>
      <c r="BC74" s="40">
        <v>3195000</v>
      </c>
      <c r="BD74" s="101">
        <v>0.05</v>
      </c>
      <c r="BE74" s="40">
        <v>233000</v>
      </c>
      <c r="BF74" s="40">
        <f t="shared" si="9"/>
        <v>3428000</v>
      </c>
      <c r="BH74" s="85">
        <v>55137</v>
      </c>
      <c r="BL74" s="40">
        <f t="shared" si="10"/>
        <v>0</v>
      </c>
      <c r="BN74" s="85">
        <v>55137</v>
      </c>
      <c r="BO74" s="40">
        <v>21838600</v>
      </c>
      <c r="BP74" s="87">
        <v>5.7099999999999998E-2</v>
      </c>
      <c r="BQ74" s="40">
        <v>3760000</v>
      </c>
      <c r="BR74" s="40">
        <v>168161400</v>
      </c>
      <c r="BS74" s="40">
        <f t="shared" si="29"/>
        <v>193760000</v>
      </c>
      <c r="BU74" s="85">
        <v>55137</v>
      </c>
      <c r="CA74" s="85">
        <v>55137</v>
      </c>
      <c r="CB74" s="40"/>
      <c r="CC74" s="40"/>
      <c r="CF74" s="40">
        <f t="shared" si="11"/>
        <v>0</v>
      </c>
      <c r="CH74" s="85">
        <v>55137</v>
      </c>
      <c r="CL74" s="40">
        <f t="shared" si="12"/>
        <v>0</v>
      </c>
      <c r="CN74" s="85">
        <v>55137</v>
      </c>
      <c r="CS74" s="40">
        <f t="shared" si="13"/>
        <v>0</v>
      </c>
      <c r="CU74" s="85">
        <v>55137</v>
      </c>
      <c r="CZ74" s="40">
        <f t="shared" si="30"/>
        <v>0</v>
      </c>
      <c r="DA74" s="85"/>
      <c r="DB74" s="85">
        <v>55137</v>
      </c>
      <c r="DH74" s="85">
        <v>55137</v>
      </c>
      <c r="DL74" s="40">
        <f t="shared" si="14"/>
        <v>0</v>
      </c>
      <c r="DN74" s="85">
        <v>55137</v>
      </c>
      <c r="DR74" s="40">
        <f t="shared" si="15"/>
        <v>0</v>
      </c>
      <c r="DT74" s="85">
        <v>55137</v>
      </c>
      <c r="DY74" s="40">
        <f t="shared" si="16"/>
        <v>0</v>
      </c>
      <c r="EA74" s="85">
        <v>55137</v>
      </c>
      <c r="EF74" s="40">
        <f t="shared" si="17"/>
        <v>0</v>
      </c>
      <c r="EH74" s="85">
        <v>55137</v>
      </c>
      <c r="EM74" s="40">
        <f t="shared" si="18"/>
        <v>0</v>
      </c>
      <c r="EO74" s="85">
        <v>55137</v>
      </c>
      <c r="EP74" s="67"/>
      <c r="EQ74" s="67"/>
      <c r="ER74" s="67"/>
      <c r="ES74" s="67"/>
      <c r="ET74" s="40">
        <f t="shared" si="19"/>
        <v>0</v>
      </c>
    </row>
    <row r="75" spans="6:150" x14ac:dyDescent="0.4">
      <c r="F75" s="85">
        <v>55334</v>
      </c>
      <c r="G75" s="85"/>
      <c r="H75" s="85">
        <v>55319</v>
      </c>
      <c r="I75" s="40">
        <f>SUM(Y74:Y75,AG74:AG75,AO74:AO75,AV74:AV75,BC74:BC75,BI74:BI75,BO74:BO75,BV74:BV75,CB74:CB75,CI74:CI75,CO74:CO75,CV74:CV75,DC74:DC75,DI74:DI75,DO74:DO75,DU74:DU75,EB74:EB75,EI74:EI75,EP74:EP75)</f>
        <v>40863853.649999999</v>
      </c>
      <c r="J75" s="40">
        <f>SUM(AA74:AA75,AI74:AI75,AQ74:AQ75,AX74:AX75,BE74:BE75,BK74:BK75,BQ74:BQ75,BX74:BX75,CD74:CD75,CK74:CK75,CQ74:CQ75,CX74:CX75,DE74:DE75,DK74:DK75,DQ74:DQ75,DW74:DW75,ED74:ED75,EK74:EK75,ER74:ER75)</f>
        <v>24257625</v>
      </c>
      <c r="K75" s="40">
        <f>SUM(AB74:AB75,AJ74:AJ75,AR74:AR75,AY74:AY75,BR74:BR75,CE74:CE75,CR74:CR75,CY74:CY75,DX74:DX75,EE74:EE75,EL74:EL75,ES74:ES75)</f>
        <v>282121667.85000002</v>
      </c>
      <c r="L75" s="40">
        <f>SUM(AC74:AC75,AK74:AK75)</f>
        <v>0</v>
      </c>
      <c r="M75" s="40">
        <f>SUM(I75:L75)</f>
        <v>347243146.5</v>
      </c>
      <c r="O75" s="85">
        <v>55334</v>
      </c>
      <c r="P75" s="85"/>
      <c r="Q75" s="85">
        <v>55319</v>
      </c>
      <c r="R75" s="40">
        <f t="shared" si="20"/>
        <v>15218139.35</v>
      </c>
      <c r="S75" s="40">
        <f t="shared" si="21"/>
        <v>12088875</v>
      </c>
      <c r="T75" s="40">
        <f t="shared" si="22"/>
        <v>111183089.55</v>
      </c>
      <c r="U75" s="40">
        <f t="shared" si="23"/>
        <v>0</v>
      </c>
      <c r="V75" s="40">
        <f t="shared" si="24"/>
        <v>138490103.90000001</v>
      </c>
      <c r="X75" s="85">
        <v>55319</v>
      </c>
      <c r="Y75" s="40"/>
      <c r="Z75" s="101"/>
      <c r="AA75" s="40"/>
      <c r="AB75" s="40"/>
      <c r="AC75" s="40"/>
      <c r="AD75" s="40">
        <f t="shared" si="28"/>
        <v>0</v>
      </c>
      <c r="AF75" s="85">
        <v>55319</v>
      </c>
      <c r="AG75" s="40">
        <v>0</v>
      </c>
      <c r="AH75" s="101"/>
      <c r="AI75" s="40">
        <v>4750125</v>
      </c>
      <c r="AJ75" s="40">
        <v>0</v>
      </c>
      <c r="AK75" s="40"/>
      <c r="AL75" s="40">
        <f t="shared" si="6"/>
        <v>4750125</v>
      </c>
      <c r="AN75" s="85">
        <v>55319</v>
      </c>
      <c r="AO75" s="40">
        <v>0</v>
      </c>
      <c r="AQ75" s="40">
        <v>0</v>
      </c>
      <c r="AR75" s="40">
        <v>0</v>
      </c>
      <c r="AS75" s="40">
        <f t="shared" si="7"/>
        <v>0</v>
      </c>
      <c r="AU75" s="85">
        <v>55319</v>
      </c>
      <c r="AV75" s="40">
        <v>0</v>
      </c>
      <c r="AW75" s="40"/>
      <c r="AX75" s="40">
        <v>3425625</v>
      </c>
      <c r="AY75" s="40">
        <v>0</v>
      </c>
      <c r="AZ75" s="40">
        <f t="shared" si="8"/>
        <v>3425625</v>
      </c>
      <c r="BB75" s="85">
        <v>55319</v>
      </c>
      <c r="BC75" s="40">
        <v>1350000</v>
      </c>
      <c r="BD75" s="101">
        <v>0.05</v>
      </c>
      <c r="BE75" s="40">
        <v>153125</v>
      </c>
      <c r="BF75" s="40">
        <f t="shared" si="9"/>
        <v>1503125</v>
      </c>
      <c r="BH75" s="85">
        <v>55319</v>
      </c>
      <c r="BL75" s="40">
        <f t="shared" si="10"/>
        <v>0</v>
      </c>
      <c r="BN75" s="85">
        <v>55319</v>
      </c>
      <c r="BO75" s="40">
        <v>13868139.35</v>
      </c>
      <c r="BP75" s="87">
        <v>5.7299999999999997E-2</v>
      </c>
      <c r="BQ75" s="40">
        <v>3760000</v>
      </c>
      <c r="BR75" s="40">
        <v>111183089.55</v>
      </c>
      <c r="BS75" s="40">
        <f t="shared" si="29"/>
        <v>128811228.90000001</v>
      </c>
      <c r="BU75" s="85">
        <v>55319</v>
      </c>
      <c r="CA75" s="85">
        <v>55319</v>
      </c>
      <c r="CB75" s="40"/>
      <c r="CC75" s="40"/>
      <c r="CF75" s="40">
        <f t="shared" si="11"/>
        <v>0</v>
      </c>
      <c r="CH75" s="85">
        <v>55319</v>
      </c>
      <c r="CL75" s="40">
        <f t="shared" si="12"/>
        <v>0</v>
      </c>
      <c r="CN75" s="85">
        <v>55319</v>
      </c>
      <c r="CS75" s="40">
        <f t="shared" si="13"/>
        <v>0</v>
      </c>
      <c r="CU75" s="85">
        <v>55319</v>
      </c>
      <c r="CZ75" s="40">
        <f t="shared" si="30"/>
        <v>0</v>
      </c>
      <c r="DA75" s="85"/>
      <c r="DB75" s="85">
        <v>55319</v>
      </c>
      <c r="DH75" s="85">
        <v>55319</v>
      </c>
      <c r="DL75" s="40">
        <f t="shared" si="14"/>
        <v>0</v>
      </c>
      <c r="DN75" s="85">
        <v>55319</v>
      </c>
      <c r="DR75" s="40">
        <f t="shared" si="15"/>
        <v>0</v>
      </c>
      <c r="DT75" s="85">
        <v>55319</v>
      </c>
      <c r="DY75" s="40">
        <f t="shared" si="16"/>
        <v>0</v>
      </c>
      <c r="EA75" s="85">
        <v>55319</v>
      </c>
      <c r="EF75" s="40">
        <f t="shared" si="17"/>
        <v>0</v>
      </c>
      <c r="EH75" s="85">
        <v>55319</v>
      </c>
      <c r="EM75" s="40">
        <f t="shared" si="18"/>
        <v>0</v>
      </c>
      <c r="EO75" s="85">
        <v>55319</v>
      </c>
      <c r="ET75" s="40">
        <f t="shared" si="19"/>
        <v>0</v>
      </c>
    </row>
    <row r="76" spans="6:150" x14ac:dyDescent="0.4">
      <c r="F76" s="85">
        <v>55518</v>
      </c>
      <c r="G76" s="85"/>
      <c r="H76" s="85">
        <v>55502</v>
      </c>
      <c r="I76" s="40"/>
      <c r="O76" s="85">
        <v>55518</v>
      </c>
      <c r="P76" s="85"/>
      <c r="Q76" s="85">
        <v>55502</v>
      </c>
      <c r="R76" s="40">
        <f t="shared" si="20"/>
        <v>46433118.25</v>
      </c>
      <c r="S76" s="40">
        <f t="shared" si="21"/>
        <v>12055125</v>
      </c>
      <c r="T76" s="40">
        <f t="shared" si="22"/>
        <v>150258121.25</v>
      </c>
      <c r="U76" s="40">
        <f t="shared" si="23"/>
        <v>0</v>
      </c>
      <c r="V76" s="40">
        <f t="shared" si="24"/>
        <v>208746364.5</v>
      </c>
      <c r="X76" s="85">
        <v>55502</v>
      </c>
      <c r="Y76" s="40"/>
      <c r="Z76" s="101"/>
      <c r="AA76" s="40"/>
      <c r="AB76" s="40"/>
      <c r="AC76" s="40"/>
      <c r="AD76" s="40">
        <f t="shared" si="28"/>
        <v>0</v>
      </c>
      <c r="AF76" s="85">
        <v>55502</v>
      </c>
      <c r="AG76" s="40">
        <v>0</v>
      </c>
      <c r="AH76" s="101"/>
      <c r="AI76" s="40">
        <v>4750125</v>
      </c>
      <c r="AJ76" s="40">
        <v>0</v>
      </c>
      <c r="AK76" s="40"/>
      <c r="AL76" s="40">
        <f t="shared" si="6"/>
        <v>4750125</v>
      </c>
      <c r="AN76" s="85">
        <v>55502</v>
      </c>
      <c r="AO76" s="40">
        <v>579820.5</v>
      </c>
      <c r="AP76" s="101">
        <v>5.2499999999999998E-2</v>
      </c>
      <c r="AQ76" s="40">
        <v>0</v>
      </c>
      <c r="AR76" s="40">
        <v>2801419</v>
      </c>
      <c r="AS76" s="40">
        <f t="shared" si="7"/>
        <v>3381239.5</v>
      </c>
      <c r="AU76" s="85">
        <v>55502</v>
      </c>
      <c r="AV76" s="40">
        <v>0</v>
      </c>
      <c r="AW76" s="40"/>
      <c r="AX76" s="40">
        <v>3425625</v>
      </c>
      <c r="AY76" s="40">
        <v>0</v>
      </c>
      <c r="AZ76" s="40">
        <f t="shared" si="8"/>
        <v>3425625</v>
      </c>
      <c r="BB76" s="85">
        <v>55502</v>
      </c>
      <c r="BC76" s="40">
        <v>3035000</v>
      </c>
      <c r="BD76" s="101">
        <v>0.05</v>
      </c>
      <c r="BE76" s="40">
        <v>119375</v>
      </c>
      <c r="BF76" s="40">
        <f t="shared" si="9"/>
        <v>3154375</v>
      </c>
      <c r="BH76" s="85">
        <v>55502</v>
      </c>
      <c r="BL76" s="40">
        <f t="shared" si="10"/>
        <v>0</v>
      </c>
      <c r="BN76" s="85">
        <v>55502</v>
      </c>
      <c r="BO76" s="40">
        <v>42818297.75</v>
      </c>
      <c r="BP76" s="123" t="s">
        <v>108</v>
      </c>
      <c r="BQ76" s="40">
        <v>3760000</v>
      </c>
      <c r="BR76" s="40">
        <v>147456702.25</v>
      </c>
      <c r="BS76" s="40">
        <f t="shared" si="29"/>
        <v>194035000</v>
      </c>
      <c r="BU76" s="85">
        <v>55502</v>
      </c>
      <c r="CA76" s="85">
        <v>55502</v>
      </c>
      <c r="CB76" s="40"/>
      <c r="CC76" s="40"/>
      <c r="CF76" s="40">
        <f t="shared" si="11"/>
        <v>0</v>
      </c>
      <c r="CH76" s="85">
        <v>55502</v>
      </c>
      <c r="CL76" s="40">
        <f t="shared" si="12"/>
        <v>0</v>
      </c>
      <c r="CN76" s="85">
        <v>55502</v>
      </c>
      <c r="CS76" s="40">
        <f t="shared" si="13"/>
        <v>0</v>
      </c>
      <c r="CU76" s="85">
        <v>55502</v>
      </c>
      <c r="CZ76" s="40">
        <f t="shared" si="30"/>
        <v>0</v>
      </c>
      <c r="DA76" s="85"/>
      <c r="DB76" s="85">
        <v>55502</v>
      </c>
      <c r="DH76" s="85">
        <v>55502</v>
      </c>
      <c r="DL76" s="40">
        <f t="shared" si="14"/>
        <v>0</v>
      </c>
      <c r="DN76" s="85">
        <v>55502</v>
      </c>
      <c r="DR76" s="40">
        <f t="shared" si="15"/>
        <v>0</v>
      </c>
      <c r="DT76" s="85">
        <v>55502</v>
      </c>
      <c r="DY76" s="40">
        <f t="shared" si="16"/>
        <v>0</v>
      </c>
      <c r="EA76" s="85">
        <v>55502</v>
      </c>
      <c r="EF76" s="40">
        <f t="shared" si="17"/>
        <v>0</v>
      </c>
      <c r="EH76" s="85">
        <v>55502</v>
      </c>
      <c r="EM76" s="40">
        <f t="shared" si="18"/>
        <v>0</v>
      </c>
      <c r="EO76" s="85">
        <v>55502</v>
      </c>
      <c r="ET76" s="40">
        <f t="shared" si="19"/>
        <v>0</v>
      </c>
    </row>
    <row r="77" spans="6:150" x14ac:dyDescent="0.4">
      <c r="F77" s="85">
        <v>55700</v>
      </c>
      <c r="G77" s="85"/>
      <c r="H77" s="85">
        <v>55685</v>
      </c>
      <c r="I77" s="40">
        <f>SUM(Y76:Y77,AG76:AG77,AO76:AO77,AV76:AV77,BC76:BC77,BI76:BI77,BO76:BO77,BV76:BV77,CB76:CB77,CI76:CI77,CO76:CO77,CV76:CV77,DC76:DC77,DI76:DI77,DO76:DO77,DU76:DU77,EB76:EB77,EI76:EI77,EP76:EP77)</f>
        <v>173573118.25</v>
      </c>
      <c r="J77" s="40">
        <f>SUM(AA76:AA77,AI76:AI77,AQ76:AQ77,AX76:AX77,BE76:BE77,BK76:BK77,BQ76:BQ77,BX76:BX77,CD76:CD77,CK76:CK77,CQ76:CQ77,CX76:CX77,DE76:DE77,DK76:DK77,DQ76:DQ77,DW76:DW77,ED76:ED77,EK76:EK77,ER76:ER77)</f>
        <v>23409375</v>
      </c>
      <c r="K77" s="40">
        <f>SUM(AB76:AB77,AJ76:AJ77,AR76:AR77,AY76:AY77,BR76:BR77,CE76:CE77,CR76:CR77,CY76:CY77,DX76:DX77,EE76:EE77,EL76:EL77,ES76:ES77)</f>
        <v>150258121.25</v>
      </c>
      <c r="L77" s="40">
        <f>SUM(AC76:AC77,AK76:AK77)</f>
        <v>0</v>
      </c>
      <c r="M77" s="40">
        <f>SUM(I77:L77)</f>
        <v>347240614.5</v>
      </c>
      <c r="O77" s="85">
        <v>55700</v>
      </c>
      <c r="P77" s="85"/>
      <c r="Q77" s="85">
        <v>55685</v>
      </c>
      <c r="R77" s="40">
        <f t="shared" si="20"/>
        <v>127140000</v>
      </c>
      <c r="S77" s="40">
        <f t="shared" si="21"/>
        <v>11354250</v>
      </c>
      <c r="T77" s="40">
        <f t="shared" si="22"/>
        <v>0</v>
      </c>
      <c r="U77" s="40">
        <f t="shared" si="23"/>
        <v>0</v>
      </c>
      <c r="V77" s="40">
        <f t="shared" si="24"/>
        <v>138494250</v>
      </c>
      <c r="X77" s="85">
        <v>55685</v>
      </c>
      <c r="Y77" s="40"/>
      <c r="Z77" s="101"/>
      <c r="AA77" s="40"/>
      <c r="AB77" s="40"/>
      <c r="AC77" s="40"/>
      <c r="AD77" s="40">
        <f t="shared" si="28"/>
        <v>0</v>
      </c>
      <c r="AF77" s="85">
        <v>55685</v>
      </c>
      <c r="AG77" s="40">
        <v>0</v>
      </c>
      <c r="AH77" s="101"/>
      <c r="AI77" s="40">
        <v>4750125</v>
      </c>
      <c r="AJ77" s="40">
        <v>0</v>
      </c>
      <c r="AK77" s="40"/>
      <c r="AL77" s="40">
        <f t="shared" ref="AL77:AL93" si="31">SUM(AG77,AI77,AJ77,AK77)</f>
        <v>4750125</v>
      </c>
      <c r="AN77" s="85">
        <v>55685</v>
      </c>
      <c r="AO77" s="40">
        <v>0</v>
      </c>
      <c r="AQ77" s="40">
        <v>0</v>
      </c>
      <c r="AR77" s="40">
        <v>0</v>
      </c>
      <c r="AS77" s="40">
        <f t="shared" ref="AS77:AS93" si="32">SUM(AO77,AQ77,AR77)</f>
        <v>0</v>
      </c>
      <c r="AU77" s="85">
        <v>55685</v>
      </c>
      <c r="AV77" s="40">
        <v>0</v>
      </c>
      <c r="AW77" s="40"/>
      <c r="AX77" s="40">
        <v>3425625</v>
      </c>
      <c r="AY77" s="40">
        <v>0</v>
      </c>
      <c r="AZ77" s="40">
        <f t="shared" ref="AZ77:AZ93" si="33">SUM(AV77,AX77,AY77)</f>
        <v>3425625</v>
      </c>
      <c r="BB77" s="85">
        <v>55685</v>
      </c>
      <c r="BC77" s="40">
        <v>1740000</v>
      </c>
      <c r="BD77" s="101">
        <v>0.05</v>
      </c>
      <c r="BE77" s="40">
        <v>43500</v>
      </c>
      <c r="BF77" s="40">
        <f t="shared" ref="BF77:BF93" si="34">SUM(BC77,BE77)</f>
        <v>1783500</v>
      </c>
      <c r="BH77" s="85">
        <v>55685</v>
      </c>
      <c r="BL77" s="40">
        <f t="shared" ref="BL77:BL93" si="35">SUM(BI77,BK77)</f>
        <v>0</v>
      </c>
      <c r="BN77" s="85">
        <v>55685</v>
      </c>
      <c r="BO77" s="40">
        <v>125400000</v>
      </c>
      <c r="BP77" s="87">
        <v>0.05</v>
      </c>
      <c r="BQ77" s="40">
        <v>3135000</v>
      </c>
      <c r="BR77" s="40">
        <v>0</v>
      </c>
      <c r="BS77" s="40">
        <f t="shared" si="29"/>
        <v>128535000</v>
      </c>
      <c r="BU77" s="85">
        <v>55685</v>
      </c>
      <c r="CA77" s="85">
        <v>55685</v>
      </c>
      <c r="CB77" s="40"/>
      <c r="CC77" s="40"/>
      <c r="CF77" s="40">
        <f t="shared" ref="CF77:CF93" si="36">SUM(CB77,CD77,CE77)</f>
        <v>0</v>
      </c>
      <c r="CH77" s="85">
        <v>55685</v>
      </c>
      <c r="CL77" s="40">
        <f t="shared" ref="CL77:CL93" si="37">SUM(CI77,CK77)</f>
        <v>0</v>
      </c>
      <c r="CN77" s="85">
        <v>55685</v>
      </c>
      <c r="CS77" s="40">
        <f t="shared" ref="CS77:CS93" si="38">SUM(CO77,CQ77,CR77)</f>
        <v>0</v>
      </c>
      <c r="CU77" s="85">
        <v>55685</v>
      </c>
      <c r="CZ77" s="40">
        <f t="shared" si="30"/>
        <v>0</v>
      </c>
      <c r="DA77" s="85"/>
      <c r="DB77" s="85">
        <v>55685</v>
      </c>
      <c r="DH77" s="85">
        <v>55685</v>
      </c>
      <c r="DL77" s="40">
        <f t="shared" ref="DL77:DL93" si="39">SUM(DI77,DK77)</f>
        <v>0</v>
      </c>
      <c r="DN77" s="85">
        <v>55685</v>
      </c>
      <c r="DR77" s="40">
        <f t="shared" ref="DR77:DR93" si="40">SUM(DO77,DQ77)</f>
        <v>0</v>
      </c>
      <c r="DT77" s="85">
        <v>55685</v>
      </c>
      <c r="DY77" s="40">
        <f t="shared" ref="DY77:DY93" si="41">SUM(DU77,DW77,DX77)</f>
        <v>0</v>
      </c>
      <c r="EA77" s="85">
        <v>55685</v>
      </c>
      <c r="EF77" s="40">
        <f t="shared" ref="EF77:EF93" si="42">SUM(EB77,ED77,EE77)</f>
        <v>0</v>
      </c>
      <c r="EH77" s="85">
        <v>55685</v>
      </c>
      <c r="EM77" s="40">
        <f t="shared" ref="EM77:EM93" si="43">SUM(EI77,EK77,EL77)</f>
        <v>0</v>
      </c>
      <c r="EO77" s="85">
        <v>55685</v>
      </c>
      <c r="ET77" s="40">
        <f t="shared" ref="ET77:ET93" si="44">SUM(EP77,ER77,ES77)</f>
        <v>0</v>
      </c>
    </row>
    <row r="78" spans="6:150" x14ac:dyDescent="0.4">
      <c r="F78" s="85">
        <v>55884</v>
      </c>
      <c r="G78" s="85"/>
      <c r="H78" s="85">
        <v>55868</v>
      </c>
      <c r="I78" s="40"/>
      <c r="O78" s="85">
        <v>55884</v>
      </c>
      <c r="P78" s="85"/>
      <c r="Q78" s="85">
        <v>55868</v>
      </c>
      <c r="R78" s="40">
        <f t="shared" ref="R78:R93" si="45">SUM(Y78,AG78,AO78,AV78,BC78,BI78,BO78,BV78,CB78,CI78,CO78,CV78,DC78,DI78,DO78,DU78,EB78,EI78,EP78)</f>
        <v>24777137.699999999</v>
      </c>
      <c r="S78" s="40">
        <f t="shared" ref="S78:S93" si="46">SUM(AA78,AI78,AQ78,AX78,BE78,BK78,BQ78,BX78,CD78,CK78,CQ78,CX78,DE78,DK78,DQ78,DW78,ED78,EK78,ER78)</f>
        <v>8175750</v>
      </c>
      <c r="T78" s="40">
        <f t="shared" ref="T78:T93" si="47">SUM(AB78,AJ78,AR78,AY78,BR78,CE78,CR78,CY78,DX78,EE78,EL78,ES78)</f>
        <v>176794160.5</v>
      </c>
      <c r="U78" s="40">
        <f t="shared" ref="U78:U93" si="48">SUM(AC78,AK78)</f>
        <v>0</v>
      </c>
      <c r="V78" s="40">
        <f t="shared" ref="V78:V93" si="49">SUM(R78:U78)</f>
        <v>209747048.19999999</v>
      </c>
      <c r="X78" s="85">
        <v>55868</v>
      </c>
      <c r="Y78" s="40"/>
      <c r="Z78" s="101"/>
      <c r="AA78" s="40"/>
      <c r="AB78" s="40"/>
      <c r="AC78" s="40"/>
      <c r="AD78" s="40">
        <f t="shared" si="28"/>
        <v>0</v>
      </c>
      <c r="AF78" s="85">
        <v>55868</v>
      </c>
      <c r="AG78" s="40">
        <v>223637.7</v>
      </c>
      <c r="AH78" s="101">
        <v>5.2499999999999998E-2</v>
      </c>
      <c r="AI78" s="40">
        <v>4750125</v>
      </c>
      <c r="AJ78" s="40">
        <v>1149960.5</v>
      </c>
      <c r="AK78" s="40"/>
      <c r="AL78" s="40">
        <f t="shared" si="31"/>
        <v>6123723.2000000002</v>
      </c>
      <c r="AN78" s="85">
        <v>55868</v>
      </c>
      <c r="AO78" s="40">
        <v>733950</v>
      </c>
      <c r="AP78" s="101">
        <v>5.2499999999999998E-2</v>
      </c>
      <c r="AQ78" s="40">
        <v>0</v>
      </c>
      <c r="AR78" s="40">
        <v>3773750</v>
      </c>
      <c r="AS78" s="40">
        <f t="shared" si="32"/>
        <v>4507700</v>
      </c>
      <c r="AU78" s="85">
        <v>55868</v>
      </c>
      <c r="AV78" s="40">
        <v>23819550</v>
      </c>
      <c r="AW78" s="84" t="s">
        <v>109</v>
      </c>
      <c r="AX78" s="40">
        <v>3425625</v>
      </c>
      <c r="AY78" s="40">
        <v>171870450</v>
      </c>
      <c r="AZ78" s="40">
        <f t="shared" si="33"/>
        <v>199115625</v>
      </c>
      <c r="BB78" s="85">
        <v>55868</v>
      </c>
      <c r="BC78" s="40">
        <v>0</v>
      </c>
      <c r="BD78" s="40"/>
      <c r="BE78" s="40">
        <v>0</v>
      </c>
      <c r="BF78" s="40">
        <f t="shared" si="34"/>
        <v>0</v>
      </c>
      <c r="BH78" s="85">
        <v>55868</v>
      </c>
      <c r="BL78" s="40">
        <f t="shared" si="35"/>
        <v>0</v>
      </c>
      <c r="BN78" s="85">
        <v>55868</v>
      </c>
      <c r="BO78" s="40"/>
      <c r="BP78" s="87"/>
      <c r="BQ78" s="40"/>
      <c r="BR78" s="40"/>
      <c r="BS78" s="40">
        <f t="shared" si="29"/>
        <v>0</v>
      </c>
      <c r="BU78" s="85">
        <v>55868</v>
      </c>
      <c r="BW78" s="87"/>
      <c r="CA78" s="85">
        <v>55868</v>
      </c>
      <c r="CB78" s="40"/>
      <c r="CC78" s="87"/>
      <c r="CD78" s="40"/>
      <c r="CF78" s="40">
        <f t="shared" si="36"/>
        <v>0</v>
      </c>
      <c r="CH78" s="85">
        <v>55868</v>
      </c>
      <c r="CI78" s="40"/>
      <c r="CJ78" s="87"/>
      <c r="CK78" s="40"/>
      <c r="CL78" s="40">
        <f t="shared" si="37"/>
        <v>0</v>
      </c>
      <c r="CN78" s="85">
        <v>55868</v>
      </c>
      <c r="CP78" s="87"/>
      <c r="CS78" s="40">
        <f t="shared" si="38"/>
        <v>0</v>
      </c>
      <c r="CU78" s="85">
        <v>55868</v>
      </c>
      <c r="CW78" s="87"/>
      <c r="CZ78" s="40">
        <f t="shared" si="30"/>
        <v>0</v>
      </c>
      <c r="DA78" s="85"/>
      <c r="DB78" s="85">
        <v>55868</v>
      </c>
      <c r="DC78" s="67"/>
      <c r="DD78" s="67"/>
      <c r="DE78" s="67"/>
      <c r="DF78" s="67"/>
      <c r="DH78" s="85">
        <v>55868</v>
      </c>
      <c r="DI78" s="67"/>
      <c r="DJ78" s="67"/>
      <c r="DK78" s="67"/>
      <c r="DL78" s="40">
        <f t="shared" si="39"/>
        <v>0</v>
      </c>
      <c r="DN78" s="85">
        <v>55868</v>
      </c>
      <c r="DO78" s="67"/>
      <c r="DP78" s="67"/>
      <c r="DQ78" s="67"/>
      <c r="DR78" s="40">
        <f t="shared" si="40"/>
        <v>0</v>
      </c>
      <c r="DT78" s="85">
        <v>55868</v>
      </c>
      <c r="DU78" s="67"/>
      <c r="DV78" s="67"/>
      <c r="DW78" s="67"/>
      <c r="DX78" s="67"/>
      <c r="DY78" s="40">
        <f t="shared" si="41"/>
        <v>0</v>
      </c>
      <c r="EA78" s="85">
        <v>55868</v>
      </c>
      <c r="EB78" s="67"/>
      <c r="EC78" s="67"/>
      <c r="ED78" s="67"/>
      <c r="EE78" s="67"/>
      <c r="EF78" s="40">
        <f t="shared" si="42"/>
        <v>0</v>
      </c>
      <c r="EH78" s="85">
        <v>55868</v>
      </c>
      <c r="EI78" s="67"/>
      <c r="EJ78" s="67"/>
      <c r="EK78" s="67"/>
      <c r="EL78" s="67"/>
      <c r="EM78" s="40">
        <f t="shared" si="43"/>
        <v>0</v>
      </c>
      <c r="EO78" s="85">
        <v>55868</v>
      </c>
      <c r="EP78" s="67"/>
      <c r="EQ78" s="67"/>
      <c r="ER78" s="67"/>
      <c r="ES78" s="67"/>
      <c r="ET78" s="40">
        <f t="shared" si="44"/>
        <v>0</v>
      </c>
    </row>
    <row r="79" spans="6:150" x14ac:dyDescent="0.4">
      <c r="F79" s="85">
        <v>56065</v>
      </c>
      <c r="G79" s="85"/>
      <c r="H79" s="85">
        <v>56050</v>
      </c>
      <c r="I79" s="40">
        <f>SUM(Y78:Y79,AG78:AG79,AO78:AO79,AV78:AV79,BC78:BC79,BI78:BI79,BO78:BO79,BV78:BV79,CB78:CB79,CI78:CI79,CO78:CO79,CV78:CV79,DC78:DC79,DI78:DI79,DO78:DO79,DU78:DU79,EB78:EB79,EI78:EI79,EP78:EP79)</f>
        <v>154112137.69999999</v>
      </c>
      <c r="J79" s="40">
        <f>SUM(AA78:AA79,AI78:AI79,AQ78:AQ79,AX78:AX79,BE78:BE79,BK78:BK79,BQ78:BQ79,BX78:BX79,CD78:CD79,CK78:CK79,CQ78:CQ79,CX78:CX79,DE78:DE79,DK78:DK79,DQ78:DQ79,DW78:DW79,ED78:ED79,EK78:EK79,ER78:ER79)</f>
        <v>16334250</v>
      </c>
      <c r="K79" s="40">
        <f>SUM(AB78:AB79,AJ78:AJ79,AR78:AR79,AY78:AY79,BR78:BR79,CE78:CE79,CR78:CR79,CY78:CY79,DX78:DX79,EE78:EE79,EL78:EL79,ES78:ES79)</f>
        <v>176794160.5</v>
      </c>
      <c r="L79" s="40">
        <f>SUM(AC78:AC79,AK78:AK79)</f>
        <v>0</v>
      </c>
      <c r="M79" s="40">
        <f>SUM(I79:L79)</f>
        <v>347240548.19999999</v>
      </c>
      <c r="O79" s="85">
        <v>56065</v>
      </c>
      <c r="P79" s="85"/>
      <c r="Q79" s="85">
        <v>56050</v>
      </c>
      <c r="R79" s="40">
        <f t="shared" si="45"/>
        <v>129335000</v>
      </c>
      <c r="S79" s="40">
        <f t="shared" si="46"/>
        <v>8158500</v>
      </c>
      <c r="T79" s="40">
        <f t="shared" si="47"/>
        <v>0</v>
      </c>
      <c r="U79" s="40">
        <f t="shared" si="48"/>
        <v>0</v>
      </c>
      <c r="V79" s="40">
        <f t="shared" si="49"/>
        <v>137493500</v>
      </c>
      <c r="X79" s="85">
        <v>56050</v>
      </c>
      <c r="Y79" s="40"/>
      <c r="Z79" s="101"/>
      <c r="AA79" s="40"/>
      <c r="AB79" s="40"/>
      <c r="AC79" s="40"/>
      <c r="AD79" s="40">
        <f t="shared" si="28"/>
        <v>0</v>
      </c>
      <c r="AF79" s="85">
        <v>56050</v>
      </c>
      <c r="AG79" s="40">
        <v>0</v>
      </c>
      <c r="AH79" s="101"/>
      <c r="AI79" s="40">
        <v>4750125</v>
      </c>
      <c r="AJ79" s="40">
        <v>0</v>
      </c>
      <c r="AK79" s="40"/>
      <c r="AL79" s="40">
        <f t="shared" si="31"/>
        <v>4750125</v>
      </c>
      <c r="AN79" s="85">
        <v>56050</v>
      </c>
      <c r="AO79" s="40">
        <v>0</v>
      </c>
      <c r="AQ79" s="40">
        <v>0</v>
      </c>
      <c r="AR79" s="40">
        <v>0</v>
      </c>
      <c r="AS79" s="40">
        <f t="shared" si="32"/>
        <v>0</v>
      </c>
      <c r="AU79" s="85">
        <v>56050</v>
      </c>
      <c r="AV79" s="40">
        <v>129335000</v>
      </c>
      <c r="AW79" s="84" t="s">
        <v>110</v>
      </c>
      <c r="AX79" s="40">
        <v>3408375</v>
      </c>
      <c r="AY79" s="40">
        <v>0</v>
      </c>
      <c r="AZ79" s="40">
        <f t="shared" si="33"/>
        <v>132743375</v>
      </c>
      <c r="BB79" s="85">
        <v>56050</v>
      </c>
      <c r="BC79" s="40">
        <v>0</v>
      </c>
      <c r="BD79" s="40"/>
      <c r="BE79" s="40">
        <v>0</v>
      </c>
      <c r="BF79" s="40">
        <f t="shared" si="34"/>
        <v>0</v>
      </c>
      <c r="BH79" s="85">
        <v>56050</v>
      </c>
      <c r="BL79" s="40">
        <f t="shared" si="35"/>
        <v>0</v>
      </c>
      <c r="BN79" s="85">
        <v>56050</v>
      </c>
      <c r="BO79" s="40"/>
      <c r="BP79" s="87"/>
      <c r="BQ79" s="40"/>
      <c r="BR79" s="40"/>
      <c r="BS79" s="40">
        <f t="shared" si="29"/>
        <v>0</v>
      </c>
      <c r="BU79" s="85">
        <v>56050</v>
      </c>
      <c r="BW79" s="87"/>
      <c r="CA79" s="85">
        <v>56050</v>
      </c>
      <c r="CB79" s="40"/>
      <c r="CC79" s="87"/>
      <c r="CD79" s="40"/>
      <c r="CF79" s="40">
        <f t="shared" si="36"/>
        <v>0</v>
      </c>
      <c r="CH79" s="85">
        <v>56050</v>
      </c>
      <c r="CI79" s="40"/>
      <c r="CJ79" s="87"/>
      <c r="CK79" s="40"/>
      <c r="CL79" s="40">
        <f t="shared" si="37"/>
        <v>0</v>
      </c>
      <c r="CN79" s="85">
        <v>56050</v>
      </c>
      <c r="CP79" s="87"/>
      <c r="CS79" s="40">
        <f t="shared" si="38"/>
        <v>0</v>
      </c>
      <c r="CU79" s="85">
        <v>56050</v>
      </c>
      <c r="CW79" s="87"/>
      <c r="CZ79" s="40">
        <f t="shared" si="30"/>
        <v>0</v>
      </c>
      <c r="DA79" s="85"/>
      <c r="DB79" s="85">
        <v>56050</v>
      </c>
      <c r="DC79" s="67"/>
      <c r="DD79" s="67"/>
      <c r="DE79" s="67"/>
      <c r="DF79" s="67"/>
      <c r="DH79" s="85">
        <v>56050</v>
      </c>
      <c r="DI79" s="67"/>
      <c r="DJ79" s="67"/>
      <c r="DK79" s="67"/>
      <c r="DL79" s="40">
        <f t="shared" si="39"/>
        <v>0</v>
      </c>
      <c r="DN79" s="85">
        <v>56050</v>
      </c>
      <c r="DO79" s="67"/>
      <c r="DP79" s="67"/>
      <c r="DQ79" s="67"/>
      <c r="DR79" s="40">
        <f t="shared" si="40"/>
        <v>0</v>
      </c>
      <c r="DT79" s="85">
        <v>56050</v>
      </c>
      <c r="DU79" s="67"/>
      <c r="DV79" s="67"/>
      <c r="DW79" s="67"/>
      <c r="DX79" s="67"/>
      <c r="DY79" s="40">
        <f t="shared" si="41"/>
        <v>0</v>
      </c>
      <c r="EA79" s="85">
        <v>56050</v>
      </c>
      <c r="EB79" s="67"/>
      <c r="EC79" s="67"/>
      <c r="ED79" s="67"/>
      <c r="EE79" s="67"/>
      <c r="EF79" s="40">
        <f t="shared" si="42"/>
        <v>0</v>
      </c>
      <c r="EH79" s="85">
        <v>56050</v>
      </c>
      <c r="EI79" s="67"/>
      <c r="EJ79" s="67"/>
      <c r="EK79" s="67"/>
      <c r="EL79" s="67"/>
      <c r="EM79" s="40">
        <f t="shared" si="43"/>
        <v>0</v>
      </c>
      <c r="EO79" s="85">
        <v>56050</v>
      </c>
      <c r="EP79" s="67"/>
      <c r="EQ79" s="67"/>
      <c r="ER79" s="67"/>
      <c r="ES79" s="67"/>
      <c r="ET79" s="40">
        <f t="shared" si="44"/>
        <v>0</v>
      </c>
    </row>
    <row r="80" spans="6:150" x14ac:dyDescent="0.4">
      <c r="F80" s="85">
        <v>56249</v>
      </c>
      <c r="G80" s="85"/>
      <c r="H80" s="85">
        <v>56233</v>
      </c>
      <c r="I80" s="40"/>
      <c r="O80" s="85">
        <v>56249</v>
      </c>
      <c r="P80" s="85"/>
      <c r="Q80" s="85">
        <v>56233</v>
      </c>
      <c r="R80" s="40">
        <f t="shared" si="45"/>
        <v>32548480.649999999</v>
      </c>
      <c r="S80" s="40">
        <f t="shared" si="46"/>
        <v>4750125</v>
      </c>
      <c r="T80" s="40">
        <f t="shared" si="47"/>
        <v>177986684.5</v>
      </c>
      <c r="U80" s="40">
        <f t="shared" si="48"/>
        <v>0</v>
      </c>
      <c r="V80" s="40">
        <f t="shared" si="49"/>
        <v>215285290.15000001</v>
      </c>
      <c r="X80" s="85">
        <v>56233</v>
      </c>
      <c r="Y80" s="40"/>
      <c r="Z80" s="101"/>
      <c r="AA80" s="40"/>
      <c r="AB80" s="40"/>
      <c r="AC80" s="40"/>
      <c r="AD80" s="40">
        <f t="shared" si="28"/>
        <v>0</v>
      </c>
      <c r="AF80" s="85">
        <v>56233</v>
      </c>
      <c r="AG80" s="40">
        <v>0</v>
      </c>
      <c r="AH80" s="101"/>
      <c r="AI80" s="40">
        <v>4750125</v>
      </c>
      <c r="AJ80" s="40">
        <v>0</v>
      </c>
      <c r="AK80" s="40"/>
      <c r="AL80" s="40">
        <f t="shared" si="31"/>
        <v>4750125</v>
      </c>
      <c r="AN80" s="85">
        <v>56233</v>
      </c>
      <c r="AO80" s="40">
        <v>32548480.649999999</v>
      </c>
      <c r="AP80" s="101">
        <v>5.2499999999999998E-2</v>
      </c>
      <c r="AQ80" s="40">
        <v>0</v>
      </c>
      <c r="AR80" s="40">
        <v>177986684.5</v>
      </c>
      <c r="AS80" s="40">
        <f t="shared" si="32"/>
        <v>210535165.15000001</v>
      </c>
      <c r="AU80" s="85">
        <v>56233</v>
      </c>
      <c r="AV80" s="40"/>
      <c r="AW80" s="40"/>
      <c r="AX80" s="40"/>
      <c r="AY80" s="40"/>
      <c r="AZ80" s="40">
        <f t="shared" si="33"/>
        <v>0</v>
      </c>
      <c r="BB80" s="85">
        <v>56233</v>
      </c>
      <c r="BD80" s="40"/>
      <c r="BF80" s="40">
        <f t="shared" si="34"/>
        <v>0</v>
      </c>
      <c r="BH80" s="85">
        <v>56233</v>
      </c>
      <c r="BL80" s="40">
        <f t="shared" si="35"/>
        <v>0</v>
      </c>
      <c r="BN80" s="85">
        <v>56233</v>
      </c>
      <c r="BO80" s="40"/>
      <c r="BP80" s="87"/>
      <c r="BQ80" s="40"/>
      <c r="BR80" s="40"/>
      <c r="BS80" s="40">
        <f t="shared" si="29"/>
        <v>0</v>
      </c>
      <c r="BU80" s="85">
        <v>56233</v>
      </c>
      <c r="BW80" s="87"/>
      <c r="CA80" s="85">
        <v>56233</v>
      </c>
      <c r="CB80" s="40"/>
      <c r="CC80" s="87"/>
      <c r="CD80" s="40"/>
      <c r="CF80" s="40">
        <f t="shared" si="36"/>
        <v>0</v>
      </c>
      <c r="CH80" s="85">
        <v>56233</v>
      </c>
      <c r="CI80" s="40"/>
      <c r="CJ80" s="87"/>
      <c r="CK80" s="40"/>
      <c r="CL80" s="40">
        <f t="shared" si="37"/>
        <v>0</v>
      </c>
      <c r="CN80" s="85">
        <v>56233</v>
      </c>
      <c r="CP80" s="87"/>
      <c r="CS80" s="40">
        <f t="shared" si="38"/>
        <v>0</v>
      </c>
      <c r="CU80" s="85">
        <v>56233</v>
      </c>
      <c r="CW80" s="87"/>
      <c r="CZ80" s="40">
        <f t="shared" si="30"/>
        <v>0</v>
      </c>
      <c r="DA80" s="85"/>
      <c r="DB80" s="85">
        <v>56233</v>
      </c>
      <c r="DC80" s="67"/>
      <c r="DD80" s="67"/>
      <c r="DE80" s="67"/>
      <c r="DF80" s="67"/>
      <c r="DH80" s="85">
        <v>56233</v>
      </c>
      <c r="DI80" s="67"/>
      <c r="DJ80" s="67"/>
      <c r="DK80" s="67"/>
      <c r="DL80" s="40">
        <f t="shared" si="39"/>
        <v>0</v>
      </c>
      <c r="DN80" s="85">
        <v>56233</v>
      </c>
      <c r="DO80" s="67"/>
      <c r="DP80" s="67"/>
      <c r="DQ80" s="67"/>
      <c r="DR80" s="40">
        <f t="shared" si="40"/>
        <v>0</v>
      </c>
      <c r="DT80" s="85">
        <v>56233</v>
      </c>
      <c r="DU80" s="67"/>
      <c r="DV80" s="67"/>
      <c r="DW80" s="67"/>
      <c r="DX80" s="67"/>
      <c r="DY80" s="40">
        <f t="shared" si="41"/>
        <v>0</v>
      </c>
      <c r="EA80" s="85">
        <v>56233</v>
      </c>
      <c r="EB80" s="67"/>
      <c r="EC80" s="67"/>
      <c r="ED80" s="67"/>
      <c r="EE80" s="67"/>
      <c r="EF80" s="40">
        <f t="shared" si="42"/>
        <v>0</v>
      </c>
      <c r="EH80" s="85">
        <v>56233</v>
      </c>
      <c r="EI80" s="67"/>
      <c r="EJ80" s="67"/>
      <c r="EK80" s="67"/>
      <c r="EL80" s="67"/>
      <c r="EM80" s="40">
        <f t="shared" si="43"/>
        <v>0</v>
      </c>
      <c r="EO80" s="85">
        <v>56233</v>
      </c>
      <c r="EP80" s="67"/>
      <c r="EQ80" s="67"/>
      <c r="ER80" s="67"/>
      <c r="ES80" s="67"/>
      <c r="ET80" s="40">
        <f t="shared" si="44"/>
        <v>0</v>
      </c>
    </row>
    <row r="81" spans="2:150" x14ac:dyDescent="0.4">
      <c r="F81" s="85">
        <v>56430</v>
      </c>
      <c r="G81" s="85"/>
      <c r="H81" s="85">
        <v>56415</v>
      </c>
      <c r="I81" s="40">
        <f>SUM(Y80:Y81,AG80:AG81,AO80:AO81,AV80:AV81,BC80:BC81,BI80:BI81,BO80:BO81,BV80:BV81,CB80:CB81,CI80:CI81,CO80:CO81,CV80:CV81,DC80:DC81,DI80:DI81,DO80:DO81,DU80:DU81,EB80:EB81,EI80:EI81,EP80:EP81)</f>
        <v>68697912.650000006</v>
      </c>
      <c r="J81" s="40">
        <f>SUM(AA80:AA81,AI80:AI81,AQ80:AQ81,AX80:AX81,BE80:BE81,BK80:BK81,BQ80:BQ81,BX80:BX81,CD80:CD81,CK80:CK81,CQ80:CQ81,CX80:CX81,DE80:DE81,DK80:DK81,DQ80:DQ81,DW80:DW81,ED80:ED81,EK80:EK81,ER80:ER81)</f>
        <v>9500250</v>
      </c>
      <c r="K81" s="40">
        <f>SUM(AB80:AB81,AJ80:AJ81,AR80:AR81,AY80:AY81,BR80:BR81,CE80:CE81,CR80:CR81,CY80:CY81,DX80:DX81,EE80:EE81,EL80:EL81,ES80:ES81)</f>
        <v>269045344.5</v>
      </c>
      <c r="L81" s="40">
        <f>SUM(AC80:AC81,AK80:AK81)</f>
        <v>0</v>
      </c>
      <c r="M81" s="40">
        <f>SUM(I81:L81)</f>
        <v>347243507.14999998</v>
      </c>
      <c r="O81" s="85">
        <v>56430</v>
      </c>
      <c r="P81" s="85"/>
      <c r="Q81" s="85">
        <v>56415</v>
      </c>
      <c r="R81" s="40">
        <f t="shared" si="45"/>
        <v>36149432</v>
      </c>
      <c r="S81" s="40">
        <f t="shared" si="46"/>
        <v>4750125</v>
      </c>
      <c r="T81" s="40">
        <f t="shared" si="47"/>
        <v>91058660</v>
      </c>
      <c r="U81" s="40">
        <f t="shared" si="48"/>
        <v>0</v>
      </c>
      <c r="V81" s="40">
        <f t="shared" si="49"/>
        <v>131958217</v>
      </c>
      <c r="X81" s="85">
        <v>56415</v>
      </c>
      <c r="Y81" s="40"/>
      <c r="Z81" s="101"/>
      <c r="AA81" s="40"/>
      <c r="AB81" s="40"/>
      <c r="AC81" s="40"/>
      <c r="AD81" s="40">
        <f t="shared" si="28"/>
        <v>0</v>
      </c>
      <c r="AF81" s="85">
        <v>56415</v>
      </c>
      <c r="AG81" s="40">
        <v>33947582</v>
      </c>
      <c r="AH81" s="191" t="s">
        <v>111</v>
      </c>
      <c r="AI81" s="40">
        <v>4750125</v>
      </c>
      <c r="AJ81" s="40">
        <v>78644210</v>
      </c>
      <c r="AK81" s="40"/>
      <c r="AL81" s="40">
        <f t="shared" si="31"/>
        <v>117341917</v>
      </c>
      <c r="AN81" s="85">
        <v>56415</v>
      </c>
      <c r="AO81" s="40">
        <v>2201850</v>
      </c>
      <c r="AP81" s="101">
        <v>5.2499999999999998E-2</v>
      </c>
      <c r="AQ81" s="40">
        <v>0</v>
      </c>
      <c r="AR81" s="40">
        <v>12414450</v>
      </c>
      <c r="AS81" s="40">
        <f t="shared" si="32"/>
        <v>14616300</v>
      </c>
      <c r="AU81" s="85">
        <v>56415</v>
      </c>
      <c r="AV81" s="40"/>
      <c r="AW81" s="40"/>
      <c r="AX81" s="40"/>
      <c r="AY81" s="40"/>
      <c r="AZ81" s="40">
        <f t="shared" si="33"/>
        <v>0</v>
      </c>
      <c r="BB81" s="85">
        <v>56415</v>
      </c>
      <c r="BD81" s="40"/>
      <c r="BF81" s="40">
        <f t="shared" si="34"/>
        <v>0</v>
      </c>
      <c r="BH81" s="85">
        <v>56415</v>
      </c>
      <c r="BL81" s="40">
        <f t="shared" si="35"/>
        <v>0</v>
      </c>
      <c r="BN81" s="85">
        <v>56415</v>
      </c>
      <c r="BO81" s="40"/>
      <c r="BP81" s="87"/>
      <c r="BQ81" s="40"/>
      <c r="BR81" s="40"/>
      <c r="BS81" s="40">
        <f t="shared" si="29"/>
        <v>0</v>
      </c>
      <c r="BU81" s="85">
        <v>56415</v>
      </c>
      <c r="BW81" s="87"/>
      <c r="CA81" s="85">
        <v>56415</v>
      </c>
      <c r="CB81" s="40"/>
      <c r="CC81" s="87"/>
      <c r="CD81" s="40"/>
      <c r="CF81" s="40">
        <f t="shared" si="36"/>
        <v>0</v>
      </c>
      <c r="CH81" s="85">
        <v>56415</v>
      </c>
      <c r="CI81" s="40"/>
      <c r="CJ81" s="87"/>
      <c r="CK81" s="40"/>
      <c r="CL81" s="40">
        <f t="shared" si="37"/>
        <v>0</v>
      </c>
      <c r="CN81" s="85">
        <v>56415</v>
      </c>
      <c r="CP81" s="87"/>
      <c r="CS81" s="40">
        <f t="shared" si="38"/>
        <v>0</v>
      </c>
      <c r="CU81" s="85">
        <v>56415</v>
      </c>
      <c r="CW81" s="87"/>
      <c r="CZ81" s="40">
        <f t="shared" si="30"/>
        <v>0</v>
      </c>
      <c r="DA81" s="85"/>
      <c r="DB81" s="85">
        <v>56415</v>
      </c>
      <c r="DC81" s="67"/>
      <c r="DD81" s="67"/>
      <c r="DE81" s="67"/>
      <c r="DF81" s="67"/>
      <c r="DH81" s="85">
        <v>56415</v>
      </c>
      <c r="DI81" s="67"/>
      <c r="DJ81" s="67"/>
      <c r="DK81" s="67"/>
      <c r="DL81" s="40">
        <f t="shared" si="39"/>
        <v>0</v>
      </c>
      <c r="DN81" s="85">
        <v>56415</v>
      </c>
      <c r="DO81" s="67"/>
      <c r="DP81" s="67"/>
      <c r="DQ81" s="67"/>
      <c r="DR81" s="40">
        <f t="shared" si="40"/>
        <v>0</v>
      </c>
      <c r="DT81" s="85">
        <v>56415</v>
      </c>
      <c r="DU81" s="67"/>
      <c r="DV81" s="67"/>
      <c r="DW81" s="67"/>
      <c r="DX81" s="67"/>
      <c r="DY81" s="40">
        <f t="shared" si="41"/>
        <v>0</v>
      </c>
      <c r="EA81" s="85">
        <v>56415</v>
      </c>
      <c r="EB81" s="67"/>
      <c r="EC81" s="67"/>
      <c r="ED81" s="67"/>
      <c r="EE81" s="67"/>
      <c r="EF81" s="40">
        <f t="shared" si="42"/>
        <v>0</v>
      </c>
      <c r="EH81" s="85">
        <v>56415</v>
      </c>
      <c r="EI81" s="67"/>
      <c r="EJ81" s="67"/>
      <c r="EK81" s="67"/>
      <c r="EL81" s="67"/>
      <c r="EM81" s="40">
        <f t="shared" si="43"/>
        <v>0</v>
      </c>
      <c r="EO81" s="85">
        <v>56415</v>
      </c>
      <c r="EP81" s="67"/>
      <c r="EQ81" s="67"/>
      <c r="ER81" s="67"/>
      <c r="ES81" s="67"/>
      <c r="ET81" s="40">
        <f t="shared" si="44"/>
        <v>0</v>
      </c>
    </row>
    <row r="82" spans="2:150" x14ac:dyDescent="0.4">
      <c r="F82" s="85">
        <v>56614</v>
      </c>
      <c r="G82" s="85"/>
      <c r="H82" s="85">
        <v>56598</v>
      </c>
      <c r="I82" s="40"/>
      <c r="O82" s="85">
        <v>56614</v>
      </c>
      <c r="P82" s="85"/>
      <c r="Q82" s="85">
        <v>56598</v>
      </c>
      <c r="R82" s="40">
        <f t="shared" si="45"/>
        <v>30978571.5</v>
      </c>
      <c r="S82" s="40">
        <f t="shared" si="46"/>
        <v>4250125</v>
      </c>
      <c r="T82" s="40">
        <f t="shared" si="47"/>
        <v>180062062</v>
      </c>
      <c r="U82" s="40">
        <f t="shared" si="48"/>
        <v>0</v>
      </c>
      <c r="V82" s="40">
        <f t="shared" si="49"/>
        <v>215290758.5</v>
      </c>
      <c r="X82" s="85">
        <v>56598</v>
      </c>
      <c r="Y82" s="40"/>
      <c r="Z82" s="101"/>
      <c r="AA82" s="40"/>
      <c r="AB82" s="40"/>
      <c r="AC82" s="40"/>
      <c r="AD82" s="40">
        <f t="shared" si="28"/>
        <v>0</v>
      </c>
      <c r="AF82" s="85">
        <v>56598</v>
      </c>
      <c r="AG82" s="40">
        <v>1558185.75</v>
      </c>
      <c r="AH82" s="101">
        <v>5.2499999999999998E-2</v>
      </c>
      <c r="AI82" s="40">
        <v>4250125</v>
      </c>
      <c r="AJ82" s="40">
        <v>9057447.75</v>
      </c>
      <c r="AK82" s="40"/>
      <c r="AL82" s="40">
        <f t="shared" si="31"/>
        <v>14865758.5</v>
      </c>
      <c r="AN82" s="85">
        <v>56598</v>
      </c>
      <c r="AO82" s="40">
        <v>29420385.75</v>
      </c>
      <c r="AP82" s="101">
        <v>5.2499999999999998E-2</v>
      </c>
      <c r="AQ82" s="40">
        <v>0</v>
      </c>
      <c r="AR82" s="40">
        <v>171004614.25</v>
      </c>
      <c r="AS82" s="40">
        <f t="shared" si="32"/>
        <v>200425000</v>
      </c>
      <c r="AU82" s="85">
        <v>56598</v>
      </c>
      <c r="AV82" s="40"/>
      <c r="AW82" s="40"/>
      <c r="AX82" s="40"/>
      <c r="AY82" s="40"/>
      <c r="AZ82" s="40">
        <f t="shared" si="33"/>
        <v>0</v>
      </c>
      <c r="BB82" s="85">
        <v>56598</v>
      </c>
      <c r="BD82" s="40"/>
      <c r="BF82" s="40">
        <f t="shared" si="34"/>
        <v>0</v>
      </c>
      <c r="BH82" s="85">
        <v>56598</v>
      </c>
      <c r="BL82" s="40">
        <f t="shared" si="35"/>
        <v>0</v>
      </c>
      <c r="BN82" s="85">
        <v>56598</v>
      </c>
      <c r="BO82" s="40"/>
      <c r="BP82" s="87"/>
      <c r="BQ82" s="40"/>
      <c r="BR82" s="40"/>
      <c r="BS82" s="40">
        <f t="shared" si="29"/>
        <v>0</v>
      </c>
      <c r="BU82" s="85">
        <v>56598</v>
      </c>
      <c r="BW82" s="87"/>
      <c r="CA82" s="85">
        <v>56598</v>
      </c>
      <c r="CB82" s="40"/>
      <c r="CC82" s="87"/>
      <c r="CD82" s="40"/>
      <c r="CF82" s="40">
        <f t="shared" si="36"/>
        <v>0</v>
      </c>
      <c r="CH82" s="85">
        <v>56598</v>
      </c>
      <c r="CI82" s="40"/>
      <c r="CJ82" s="87"/>
      <c r="CK82" s="40"/>
      <c r="CL82" s="40">
        <f t="shared" si="37"/>
        <v>0</v>
      </c>
      <c r="CN82" s="85">
        <v>56598</v>
      </c>
      <c r="CP82" s="87"/>
      <c r="CS82" s="40">
        <f t="shared" si="38"/>
        <v>0</v>
      </c>
      <c r="CU82" s="85">
        <v>56598</v>
      </c>
      <c r="CW82" s="87"/>
      <c r="CZ82" s="40">
        <f t="shared" si="30"/>
        <v>0</v>
      </c>
      <c r="DA82" s="85"/>
      <c r="DB82" s="85">
        <v>56598</v>
      </c>
      <c r="DC82" s="67"/>
      <c r="DD82" s="67"/>
      <c r="DE82" s="67"/>
      <c r="DF82" s="67"/>
      <c r="DH82" s="85">
        <v>56598</v>
      </c>
      <c r="DI82" s="67"/>
      <c r="DJ82" s="67"/>
      <c r="DK82" s="67"/>
      <c r="DL82" s="40">
        <f t="shared" si="39"/>
        <v>0</v>
      </c>
      <c r="DN82" s="85">
        <v>56598</v>
      </c>
      <c r="DO82" s="67"/>
      <c r="DP82" s="67"/>
      <c r="DQ82" s="67"/>
      <c r="DR82" s="40">
        <f t="shared" si="40"/>
        <v>0</v>
      </c>
      <c r="DT82" s="85">
        <v>56598</v>
      </c>
      <c r="DU82" s="67"/>
      <c r="DV82" s="67"/>
      <c r="DW82" s="67"/>
      <c r="DX82" s="67"/>
      <c r="DY82" s="40">
        <f t="shared" si="41"/>
        <v>0</v>
      </c>
      <c r="EA82" s="85">
        <v>56598</v>
      </c>
      <c r="EB82" s="67"/>
      <c r="EC82" s="67"/>
      <c r="ED82" s="67"/>
      <c r="EE82" s="67"/>
      <c r="EF82" s="40">
        <f t="shared" si="42"/>
        <v>0</v>
      </c>
      <c r="EH82" s="85">
        <v>56598</v>
      </c>
      <c r="EI82" s="67"/>
      <c r="EJ82" s="67"/>
      <c r="EK82" s="67"/>
      <c r="EL82" s="67"/>
      <c r="EM82" s="40">
        <f t="shared" si="43"/>
        <v>0</v>
      </c>
      <c r="EO82" s="85">
        <v>56598</v>
      </c>
      <c r="EP82" s="67"/>
      <c r="EQ82" s="67"/>
      <c r="ER82" s="67"/>
      <c r="ES82" s="67"/>
      <c r="ET82" s="40">
        <f t="shared" si="44"/>
        <v>0</v>
      </c>
    </row>
    <row r="83" spans="2:150" x14ac:dyDescent="0.4">
      <c r="F83" s="85">
        <v>56795</v>
      </c>
      <c r="G83" s="85"/>
      <c r="H83" s="85">
        <v>56780</v>
      </c>
      <c r="I83" s="40">
        <f>SUM(Y82:Y83,AG82:AG83,AO82:AO83,AV82:AV83,BC82:BC83,BI82:BI83,BO82:BO83,BV82:BV83,CB82:CB83,CI82:CI83,CO82:CO83,CV82:CV83,DC82:DC83,DI82:DI83,DO82:DO83,DU82:DU83,EB82:EB83,EI82:EI83,EP82:EP83)</f>
        <v>66383106.799999997</v>
      </c>
      <c r="J83" s="40">
        <f>SUM(AA82:AA83,AI82:AI83,AQ82:AQ83,AX82:AX83,BE82:BE83,BK82:BK83,BQ82:BQ83,BX82:BX83,CD82:CD83,CK82:CK83,CQ82:CQ83,CX82:CX83,DE82:DE83,DK82:DK83,DQ82:DQ83,DW82:DW83,ED82:ED83,EK82:EK83,ER82:ER83)</f>
        <v>8500250</v>
      </c>
      <c r="K83" s="40">
        <f>SUM(AB82:AB83,AJ82:AJ83,AR82:AR83,AY82:AY83,BR82:BR83,CE82:CE83,CR82:CR83,CY82:CY83,DX82:DX83,EE82:EE83,EL82:EL83,ES82:ES83)</f>
        <v>272361222.80000001</v>
      </c>
      <c r="L83" s="40">
        <f>SUM(AC82:AC83,AK82:AK83)</f>
        <v>0</v>
      </c>
      <c r="M83" s="40">
        <f>SUM(I83:L83)</f>
        <v>347244579.60000002</v>
      </c>
      <c r="O83" s="85">
        <v>56795</v>
      </c>
      <c r="P83" s="85"/>
      <c r="Q83" s="85">
        <v>56780</v>
      </c>
      <c r="R83" s="40">
        <f t="shared" si="45"/>
        <v>35404535.299999997</v>
      </c>
      <c r="S83" s="40">
        <f t="shared" si="46"/>
        <v>4250125</v>
      </c>
      <c r="T83" s="40">
        <f t="shared" si="47"/>
        <v>92299160.799999997</v>
      </c>
      <c r="U83" s="40">
        <f t="shared" si="48"/>
        <v>0</v>
      </c>
      <c r="V83" s="40">
        <f t="shared" si="49"/>
        <v>131953821.09999999</v>
      </c>
      <c r="X83" s="85">
        <v>56780</v>
      </c>
      <c r="Y83" s="40"/>
      <c r="Z83" s="101"/>
      <c r="AA83" s="40"/>
      <c r="AB83" s="40"/>
      <c r="AC83" s="40"/>
      <c r="AD83" s="40">
        <f t="shared" si="28"/>
        <v>0</v>
      </c>
      <c r="AF83" s="85">
        <v>56780</v>
      </c>
      <c r="AG83" s="40">
        <v>35404535.299999997</v>
      </c>
      <c r="AH83" s="191" t="s">
        <v>111</v>
      </c>
      <c r="AI83" s="40">
        <v>4250125</v>
      </c>
      <c r="AJ83" s="40">
        <v>92299160.799999997</v>
      </c>
      <c r="AK83" s="40"/>
      <c r="AL83" s="40">
        <f t="shared" si="31"/>
        <v>131953821.09999999</v>
      </c>
      <c r="AN83" s="85">
        <v>56780</v>
      </c>
      <c r="AO83" s="40">
        <v>0</v>
      </c>
      <c r="AQ83" s="40">
        <v>0</v>
      </c>
      <c r="AR83" s="40">
        <v>0</v>
      </c>
      <c r="AS83" s="40">
        <f t="shared" si="32"/>
        <v>0</v>
      </c>
      <c r="AU83" s="85">
        <v>56780</v>
      </c>
      <c r="AV83" s="40"/>
      <c r="AW83" s="40"/>
      <c r="AX83" s="40"/>
      <c r="AY83" s="40"/>
      <c r="AZ83" s="40">
        <f t="shared" si="33"/>
        <v>0</v>
      </c>
      <c r="BB83" s="85">
        <v>56780</v>
      </c>
      <c r="BD83" s="40"/>
      <c r="BF83" s="40">
        <f t="shared" si="34"/>
        <v>0</v>
      </c>
      <c r="BH83" s="85">
        <v>56780</v>
      </c>
      <c r="BL83" s="40">
        <f t="shared" si="35"/>
        <v>0</v>
      </c>
      <c r="BN83" s="85">
        <v>56780</v>
      </c>
      <c r="BO83" s="40"/>
      <c r="BP83" s="87"/>
      <c r="BQ83" s="40"/>
      <c r="BR83" s="40"/>
      <c r="BS83" s="40">
        <f t="shared" si="29"/>
        <v>0</v>
      </c>
      <c r="BU83" s="85">
        <v>56780</v>
      </c>
      <c r="BW83" s="87"/>
      <c r="CA83" s="85">
        <v>56780</v>
      </c>
      <c r="CB83" s="40"/>
      <c r="CC83" s="87"/>
      <c r="CD83" s="40"/>
      <c r="CF83" s="40">
        <f t="shared" si="36"/>
        <v>0</v>
      </c>
      <c r="CH83" s="85">
        <v>56780</v>
      </c>
      <c r="CI83" s="40"/>
      <c r="CJ83" s="87"/>
      <c r="CK83" s="40"/>
      <c r="CL83" s="40">
        <f t="shared" si="37"/>
        <v>0</v>
      </c>
      <c r="CN83" s="85">
        <v>56780</v>
      </c>
      <c r="CP83" s="87"/>
      <c r="CS83" s="40">
        <f t="shared" si="38"/>
        <v>0</v>
      </c>
      <c r="CU83" s="85">
        <v>56780</v>
      </c>
      <c r="CW83" s="87"/>
      <c r="CZ83" s="40">
        <f t="shared" si="30"/>
        <v>0</v>
      </c>
      <c r="DA83" s="85"/>
      <c r="DB83" s="85">
        <v>56780</v>
      </c>
      <c r="DC83" s="67"/>
      <c r="DD83" s="67"/>
      <c r="DE83" s="67"/>
      <c r="DF83" s="67"/>
      <c r="DH83" s="85">
        <v>56780</v>
      </c>
      <c r="DI83" s="67"/>
      <c r="DJ83" s="67"/>
      <c r="DK83" s="67"/>
      <c r="DL83" s="40">
        <f t="shared" si="39"/>
        <v>0</v>
      </c>
      <c r="DN83" s="85">
        <v>56780</v>
      </c>
      <c r="DO83" s="67"/>
      <c r="DP83" s="67"/>
      <c r="DQ83" s="67"/>
      <c r="DR83" s="40">
        <f t="shared" si="40"/>
        <v>0</v>
      </c>
      <c r="DT83" s="85">
        <v>56780</v>
      </c>
      <c r="DU83" s="67"/>
      <c r="DV83" s="67"/>
      <c r="DW83" s="67"/>
      <c r="DX83" s="67"/>
      <c r="DY83" s="40">
        <f t="shared" si="41"/>
        <v>0</v>
      </c>
      <c r="EA83" s="85">
        <v>56780</v>
      </c>
      <c r="EB83" s="67"/>
      <c r="EC83" s="67"/>
      <c r="ED83" s="67"/>
      <c r="EE83" s="67"/>
      <c r="EF83" s="40">
        <f t="shared" si="42"/>
        <v>0</v>
      </c>
      <c r="EH83" s="85">
        <v>56780</v>
      </c>
      <c r="EI83" s="67"/>
      <c r="EJ83" s="67"/>
      <c r="EK83" s="67"/>
      <c r="EL83" s="67"/>
      <c r="EM83" s="40">
        <f t="shared" si="43"/>
        <v>0</v>
      </c>
      <c r="EO83" s="85">
        <v>56780</v>
      </c>
      <c r="EP83" s="67"/>
      <c r="EQ83" s="67"/>
      <c r="ER83" s="67"/>
      <c r="ES83" s="67"/>
      <c r="ET83" s="40">
        <f t="shared" si="44"/>
        <v>0</v>
      </c>
    </row>
    <row r="84" spans="2:150" x14ac:dyDescent="0.4">
      <c r="F84" s="85">
        <v>56979</v>
      </c>
      <c r="G84" s="85"/>
      <c r="H84" s="85">
        <v>56963</v>
      </c>
      <c r="I84" s="40"/>
      <c r="O84" s="85">
        <v>56979</v>
      </c>
      <c r="P84" s="85"/>
      <c r="Q84" s="85">
        <v>56963</v>
      </c>
      <c r="R84" s="40">
        <f t="shared" si="45"/>
        <v>42944037.049999997</v>
      </c>
      <c r="S84" s="40">
        <f t="shared" si="46"/>
        <v>3750125</v>
      </c>
      <c r="T84" s="40">
        <f t="shared" si="47"/>
        <v>141683286.59999999</v>
      </c>
      <c r="U84" s="40">
        <f t="shared" si="48"/>
        <v>0</v>
      </c>
      <c r="V84" s="40">
        <f t="shared" si="49"/>
        <v>188377448.64999998</v>
      </c>
      <c r="X84" s="85">
        <v>56963</v>
      </c>
      <c r="Y84" s="40"/>
      <c r="Z84" s="101"/>
      <c r="AA84" s="40"/>
      <c r="AB84" s="40"/>
      <c r="AC84" s="40"/>
      <c r="AD84" s="40">
        <f t="shared" si="28"/>
        <v>0</v>
      </c>
      <c r="AF84" s="85">
        <v>56963</v>
      </c>
      <c r="AG84" s="40">
        <v>42944037.049999997</v>
      </c>
      <c r="AH84" s="191" t="s">
        <v>111</v>
      </c>
      <c r="AI84" s="40">
        <v>3750125</v>
      </c>
      <c r="AJ84" s="40">
        <v>141683286.59999999</v>
      </c>
      <c r="AK84" s="40"/>
      <c r="AL84" s="40">
        <f t="shared" si="31"/>
        <v>188377448.64999998</v>
      </c>
      <c r="AN84" s="85">
        <v>56963</v>
      </c>
      <c r="AO84" s="40">
        <v>0</v>
      </c>
      <c r="AQ84" s="40">
        <v>0</v>
      </c>
      <c r="AR84" s="40">
        <v>0</v>
      </c>
      <c r="AS84" s="40">
        <f t="shared" si="32"/>
        <v>0</v>
      </c>
      <c r="AU84" s="85">
        <v>56963</v>
      </c>
      <c r="AV84" s="40"/>
      <c r="AW84" s="40"/>
      <c r="AX84" s="40"/>
      <c r="AY84" s="40"/>
      <c r="AZ84" s="40">
        <f t="shared" si="33"/>
        <v>0</v>
      </c>
      <c r="BB84" s="85">
        <v>56963</v>
      </c>
      <c r="BD84" s="40"/>
      <c r="BF84" s="40">
        <f t="shared" si="34"/>
        <v>0</v>
      </c>
      <c r="BH84" s="85">
        <v>56963</v>
      </c>
      <c r="BL84" s="40">
        <f t="shared" si="35"/>
        <v>0</v>
      </c>
      <c r="BN84" s="85">
        <v>56963</v>
      </c>
      <c r="BO84" s="40"/>
      <c r="BP84" s="87"/>
      <c r="BQ84" s="40"/>
      <c r="BR84" s="40"/>
      <c r="BS84" s="40">
        <f t="shared" si="29"/>
        <v>0</v>
      </c>
      <c r="BU84" s="85">
        <v>56963</v>
      </c>
      <c r="BW84" s="87"/>
      <c r="CA84" s="85">
        <v>56963</v>
      </c>
      <c r="CB84" s="40"/>
      <c r="CC84" s="87"/>
      <c r="CD84" s="40"/>
      <c r="CF84" s="40">
        <f t="shared" si="36"/>
        <v>0</v>
      </c>
      <c r="CH84" s="85">
        <v>56963</v>
      </c>
      <c r="CI84" s="40"/>
      <c r="CJ84" s="87"/>
      <c r="CK84" s="40"/>
      <c r="CL84" s="40">
        <f t="shared" si="37"/>
        <v>0</v>
      </c>
      <c r="CN84" s="85">
        <v>56963</v>
      </c>
      <c r="CP84" s="87"/>
      <c r="CS84" s="40">
        <f t="shared" si="38"/>
        <v>0</v>
      </c>
      <c r="CU84" s="85">
        <v>56963</v>
      </c>
      <c r="CW84" s="87"/>
      <c r="CZ84" s="40">
        <f t="shared" si="30"/>
        <v>0</v>
      </c>
      <c r="DA84" s="85"/>
      <c r="DB84" s="85">
        <v>56963</v>
      </c>
      <c r="DC84" s="67"/>
      <c r="DD84" s="67"/>
      <c r="DE84" s="67"/>
      <c r="DF84" s="67"/>
      <c r="DH84" s="85">
        <v>56963</v>
      </c>
      <c r="DI84" s="67"/>
      <c r="DJ84" s="67"/>
      <c r="DK84" s="67"/>
      <c r="DL84" s="40">
        <f t="shared" si="39"/>
        <v>0</v>
      </c>
      <c r="DN84" s="85">
        <v>56963</v>
      </c>
      <c r="DO84" s="67"/>
      <c r="DP84" s="67"/>
      <c r="DQ84" s="67"/>
      <c r="DR84" s="40">
        <f t="shared" si="40"/>
        <v>0</v>
      </c>
      <c r="DT84" s="85">
        <v>56963</v>
      </c>
      <c r="DU84" s="67"/>
      <c r="DV84" s="67"/>
      <c r="DW84" s="67"/>
      <c r="DX84" s="67"/>
      <c r="DY84" s="40">
        <f t="shared" si="41"/>
        <v>0</v>
      </c>
      <c r="EA84" s="85">
        <v>56963</v>
      </c>
      <c r="EB84" s="67"/>
      <c r="EC84" s="67"/>
      <c r="ED84" s="67"/>
      <c r="EE84" s="67"/>
      <c r="EF84" s="40">
        <f t="shared" si="42"/>
        <v>0</v>
      </c>
      <c r="EH84" s="85">
        <v>56963</v>
      </c>
      <c r="EI84" s="67"/>
      <c r="EJ84" s="67"/>
      <c r="EK84" s="67"/>
      <c r="EL84" s="67"/>
      <c r="EM84" s="40">
        <f t="shared" si="43"/>
        <v>0</v>
      </c>
      <c r="EO84" s="85">
        <v>56963</v>
      </c>
      <c r="EP84" s="67"/>
      <c r="EQ84" s="67"/>
      <c r="ER84" s="67"/>
      <c r="ES84" s="67"/>
      <c r="ET84" s="40">
        <f t="shared" si="44"/>
        <v>0</v>
      </c>
    </row>
    <row r="85" spans="2:150" x14ac:dyDescent="0.4">
      <c r="F85" s="85">
        <v>57161</v>
      </c>
      <c r="G85" s="85"/>
      <c r="H85" s="85">
        <v>57146</v>
      </c>
      <c r="I85" s="40">
        <f>SUM(Y84:Y85,AG84:AG85,AO84:AO85,AV84:AV85,BC84:BC85,BI84:BI85,BO84:BO85,BV84:BV85,CB84:CB85,CI84:CI85,CO84:CO85,CV84:CV85,DC84:DC85,DI84:DI85,DO84:DO85,DU84:DU85,EB84:EB85,EI84:EI85,EP84:EP85)</f>
        <v>69562466.799999997</v>
      </c>
      <c r="J85" s="40">
        <f>SUM(AA84:AA85,AI84:AI85,AQ84:AQ85,AX84:AX85,BE84:BE85,BK84:BK85,BQ84:BQ85,BX84:BX85,CD84:CD85,CK84:CK85,CQ84:CQ85,CX84:CX85,DE84:DE85,DK84:DK85,DQ84:DQ85,DW84:DW85,ED84:ED85,EK84:EK85,ER84:ER85)</f>
        <v>7000250</v>
      </c>
      <c r="K85" s="40">
        <f>SUM(AB84:AB85,AJ84:AJ85,AR84:AR85,AY84:AY85,BR84:BR85,CE84:CE85,CR84:CR85,CY84:CY85,DX84:DX85,EE84:EE85,EL84:EL85,ES84:ES85)</f>
        <v>270677986.60000002</v>
      </c>
      <c r="L85" s="40">
        <f>SUM(AC84:AC85,AK84:AK85)</f>
        <v>0</v>
      </c>
      <c r="M85" s="40">
        <f>SUM(I85:L85)</f>
        <v>347240703.40000004</v>
      </c>
      <c r="O85" s="85">
        <v>57161</v>
      </c>
      <c r="P85" s="85"/>
      <c r="Q85" s="85">
        <v>57146</v>
      </c>
      <c r="R85" s="40">
        <f t="shared" si="45"/>
        <v>26618429.75</v>
      </c>
      <c r="S85" s="40">
        <f t="shared" si="46"/>
        <v>3250125</v>
      </c>
      <c r="T85" s="40">
        <f t="shared" si="47"/>
        <v>128994700</v>
      </c>
      <c r="U85" s="40">
        <f t="shared" si="48"/>
        <v>0</v>
      </c>
      <c r="V85" s="40">
        <f t="shared" si="49"/>
        <v>158863254.75</v>
      </c>
      <c r="X85" s="85">
        <v>57146</v>
      </c>
      <c r="Y85" s="40"/>
      <c r="Z85" s="101"/>
      <c r="AA85" s="40"/>
      <c r="AB85" s="40"/>
      <c r="AC85" s="40"/>
      <c r="AD85" s="40">
        <f t="shared" si="28"/>
        <v>0</v>
      </c>
      <c r="AF85" s="85">
        <v>57146</v>
      </c>
      <c r="AG85" s="40">
        <v>1323300</v>
      </c>
      <c r="AH85" s="101">
        <v>5.2499999999999998E-2</v>
      </c>
      <c r="AI85" s="40">
        <v>3250125</v>
      </c>
      <c r="AJ85" s="40">
        <v>8420900</v>
      </c>
      <c r="AK85" s="40"/>
      <c r="AL85" s="40">
        <f t="shared" si="31"/>
        <v>12994325</v>
      </c>
      <c r="AN85" s="85">
        <v>57146</v>
      </c>
      <c r="AO85" s="40">
        <v>25295129.75</v>
      </c>
      <c r="AP85" s="101">
        <v>4.5999999999999999E-2</v>
      </c>
      <c r="AQ85" s="40">
        <v>0</v>
      </c>
      <c r="AR85" s="40">
        <v>120573800</v>
      </c>
      <c r="AS85" s="40">
        <f t="shared" si="32"/>
        <v>145868929.75</v>
      </c>
      <c r="AU85" s="85">
        <v>57146</v>
      </c>
      <c r="AV85" s="40"/>
      <c r="AW85" s="40"/>
      <c r="AX85" s="40"/>
      <c r="AY85" s="40"/>
      <c r="AZ85" s="40">
        <f t="shared" si="33"/>
        <v>0</v>
      </c>
      <c r="BB85" s="85">
        <v>57146</v>
      </c>
      <c r="BD85" s="40"/>
      <c r="BF85" s="40">
        <f t="shared" si="34"/>
        <v>0</v>
      </c>
      <c r="BH85" s="85">
        <v>57146</v>
      </c>
      <c r="BL85" s="40">
        <f t="shared" si="35"/>
        <v>0</v>
      </c>
      <c r="BN85" s="85">
        <v>57146</v>
      </c>
      <c r="BO85" s="40"/>
      <c r="BP85" s="87"/>
      <c r="BQ85" s="40"/>
      <c r="BR85" s="40"/>
      <c r="BS85" s="40">
        <f t="shared" si="29"/>
        <v>0</v>
      </c>
      <c r="BU85" s="85">
        <v>57146</v>
      </c>
      <c r="BW85" s="87"/>
      <c r="CA85" s="85">
        <v>57146</v>
      </c>
      <c r="CB85" s="40"/>
      <c r="CC85" s="87"/>
      <c r="CD85" s="40"/>
      <c r="CF85" s="40">
        <f t="shared" si="36"/>
        <v>0</v>
      </c>
      <c r="CH85" s="85">
        <v>57146</v>
      </c>
      <c r="CI85" s="40"/>
      <c r="CJ85" s="87"/>
      <c r="CK85" s="40"/>
      <c r="CL85" s="40">
        <f t="shared" si="37"/>
        <v>0</v>
      </c>
      <c r="CN85" s="85">
        <v>57146</v>
      </c>
      <c r="CP85" s="87"/>
      <c r="CS85" s="40">
        <f t="shared" si="38"/>
        <v>0</v>
      </c>
      <c r="CU85" s="85">
        <v>57146</v>
      </c>
      <c r="CW85" s="87"/>
      <c r="CZ85" s="40">
        <f t="shared" si="30"/>
        <v>0</v>
      </c>
      <c r="DA85" s="85"/>
      <c r="DB85" s="85">
        <v>57146</v>
      </c>
      <c r="DC85" s="67"/>
      <c r="DD85" s="67"/>
      <c r="DE85" s="67"/>
      <c r="DF85" s="67"/>
      <c r="DH85" s="85">
        <v>57146</v>
      </c>
      <c r="DI85" s="67"/>
      <c r="DJ85" s="67"/>
      <c r="DK85" s="67"/>
      <c r="DL85" s="40">
        <f t="shared" si="39"/>
        <v>0</v>
      </c>
      <c r="DN85" s="85">
        <v>57146</v>
      </c>
      <c r="DO85" s="67"/>
      <c r="DP85" s="67"/>
      <c r="DQ85" s="67"/>
      <c r="DR85" s="40">
        <f t="shared" si="40"/>
        <v>0</v>
      </c>
      <c r="DT85" s="85">
        <v>57146</v>
      </c>
      <c r="DU85" s="67"/>
      <c r="DV85" s="67"/>
      <c r="DW85" s="67"/>
      <c r="DX85" s="67"/>
      <c r="DY85" s="40">
        <f t="shared" si="41"/>
        <v>0</v>
      </c>
      <c r="EA85" s="85">
        <v>57146</v>
      </c>
      <c r="EB85" s="67"/>
      <c r="EC85" s="67"/>
      <c r="ED85" s="67"/>
      <c r="EE85" s="67"/>
      <c r="EF85" s="40">
        <f t="shared" si="42"/>
        <v>0</v>
      </c>
      <c r="EH85" s="85">
        <v>57146</v>
      </c>
      <c r="EI85" s="67"/>
      <c r="EJ85" s="67"/>
      <c r="EK85" s="67"/>
      <c r="EL85" s="67"/>
      <c r="EM85" s="40">
        <f t="shared" si="43"/>
        <v>0</v>
      </c>
      <c r="EO85" s="85">
        <v>57146</v>
      </c>
      <c r="EP85" s="67"/>
      <c r="EQ85" s="67"/>
      <c r="ER85" s="67"/>
      <c r="ES85" s="67"/>
      <c r="ET85" s="40">
        <f t="shared" si="44"/>
        <v>0</v>
      </c>
    </row>
    <row r="86" spans="2:150" x14ac:dyDescent="0.4">
      <c r="F86" s="85">
        <v>57345</v>
      </c>
      <c r="G86" s="85"/>
      <c r="H86" s="85">
        <v>57329</v>
      </c>
      <c r="I86" s="40"/>
      <c r="O86" s="85">
        <v>57345</v>
      </c>
      <c r="P86" s="85"/>
      <c r="Q86" s="85">
        <v>57329</v>
      </c>
      <c r="R86" s="40">
        <f t="shared" si="45"/>
        <v>36621670.25</v>
      </c>
      <c r="S86" s="40">
        <f t="shared" si="46"/>
        <v>3250125</v>
      </c>
      <c r="T86" s="40">
        <f t="shared" si="47"/>
        <v>175418329.75</v>
      </c>
      <c r="U86" s="40">
        <f t="shared" si="48"/>
        <v>0</v>
      </c>
      <c r="V86" s="40">
        <f t="shared" si="49"/>
        <v>215290125</v>
      </c>
      <c r="X86" s="85">
        <v>57329</v>
      </c>
      <c r="Y86" s="40"/>
      <c r="Z86" s="101"/>
      <c r="AA86" s="40"/>
      <c r="AB86" s="40"/>
      <c r="AC86" s="40"/>
      <c r="AD86" s="40">
        <f t="shared" si="28"/>
        <v>0</v>
      </c>
      <c r="AF86" s="85">
        <v>57329</v>
      </c>
      <c r="AG86" s="40">
        <v>2588300</v>
      </c>
      <c r="AH86" s="191" t="s">
        <v>111</v>
      </c>
      <c r="AI86" s="40">
        <v>3250125</v>
      </c>
      <c r="AJ86" s="40">
        <v>8676700</v>
      </c>
      <c r="AK86" s="40"/>
      <c r="AL86" s="40">
        <f t="shared" si="31"/>
        <v>14515125</v>
      </c>
      <c r="AN86" s="85">
        <v>57329</v>
      </c>
      <c r="AO86" s="40">
        <v>34033370.25</v>
      </c>
      <c r="AP86" s="101">
        <v>4.5999999999999999E-2</v>
      </c>
      <c r="AQ86" s="40">
        <v>0</v>
      </c>
      <c r="AR86" s="40">
        <v>166741629.75</v>
      </c>
      <c r="AS86" s="40">
        <f t="shared" si="32"/>
        <v>200775000</v>
      </c>
      <c r="AU86" s="85">
        <v>57329</v>
      </c>
      <c r="AV86" s="40"/>
      <c r="AW86" s="40"/>
      <c r="AX86" s="40"/>
      <c r="AY86" s="40"/>
      <c r="AZ86" s="40">
        <f t="shared" si="33"/>
        <v>0</v>
      </c>
      <c r="BB86" s="85">
        <v>57329</v>
      </c>
      <c r="BD86" s="40"/>
      <c r="BF86" s="40">
        <f t="shared" si="34"/>
        <v>0</v>
      </c>
      <c r="BH86" s="85">
        <v>57329</v>
      </c>
      <c r="BL86" s="40">
        <f t="shared" si="35"/>
        <v>0</v>
      </c>
      <c r="BN86" s="85">
        <v>57329</v>
      </c>
      <c r="BO86" s="40"/>
      <c r="BP86" s="87"/>
      <c r="BQ86" s="40"/>
      <c r="BR86" s="40"/>
      <c r="BS86" s="40">
        <f t="shared" si="29"/>
        <v>0</v>
      </c>
      <c r="BU86" s="85">
        <v>57329</v>
      </c>
      <c r="BW86" s="87"/>
      <c r="CA86" s="85">
        <v>57329</v>
      </c>
      <c r="CB86" s="40"/>
      <c r="CC86" s="87"/>
      <c r="CD86" s="40"/>
      <c r="CF86" s="40">
        <f t="shared" si="36"/>
        <v>0</v>
      </c>
      <c r="CH86" s="85">
        <v>57329</v>
      </c>
      <c r="CI86" s="40"/>
      <c r="CJ86" s="87"/>
      <c r="CK86" s="40"/>
      <c r="CL86" s="40">
        <f t="shared" si="37"/>
        <v>0</v>
      </c>
      <c r="CN86" s="85">
        <v>57329</v>
      </c>
      <c r="CP86" s="87"/>
      <c r="CS86" s="40">
        <f t="shared" si="38"/>
        <v>0</v>
      </c>
      <c r="CU86" s="85">
        <v>57329</v>
      </c>
      <c r="CW86" s="87"/>
      <c r="CZ86" s="40">
        <f t="shared" si="30"/>
        <v>0</v>
      </c>
      <c r="DA86" s="85"/>
      <c r="DB86" s="85">
        <v>57329</v>
      </c>
      <c r="DC86" s="67"/>
      <c r="DD86" s="67"/>
      <c r="DE86" s="67"/>
      <c r="DF86" s="67"/>
      <c r="DH86" s="85">
        <v>57329</v>
      </c>
      <c r="DI86" s="67"/>
      <c r="DJ86" s="67"/>
      <c r="DK86" s="67"/>
      <c r="DL86" s="40">
        <f t="shared" si="39"/>
        <v>0</v>
      </c>
      <c r="DN86" s="85">
        <v>57329</v>
      </c>
      <c r="DO86" s="67"/>
      <c r="DP86" s="67"/>
      <c r="DQ86" s="67"/>
      <c r="DR86" s="40">
        <f t="shared" si="40"/>
        <v>0</v>
      </c>
      <c r="DT86" s="85">
        <v>57329</v>
      </c>
      <c r="DU86" s="67"/>
      <c r="DV86" s="67"/>
      <c r="DW86" s="67"/>
      <c r="DX86" s="67"/>
      <c r="DY86" s="40">
        <f t="shared" si="41"/>
        <v>0</v>
      </c>
      <c r="EA86" s="85">
        <v>57329</v>
      </c>
      <c r="EB86" s="67"/>
      <c r="EC86" s="67"/>
      <c r="ED86" s="67"/>
      <c r="EE86" s="67"/>
      <c r="EF86" s="40">
        <f t="shared" si="42"/>
        <v>0</v>
      </c>
      <c r="EH86" s="85">
        <v>57329</v>
      </c>
      <c r="EI86" s="67"/>
      <c r="EJ86" s="67"/>
      <c r="EK86" s="67"/>
      <c r="EL86" s="67"/>
      <c r="EM86" s="40">
        <f t="shared" si="43"/>
        <v>0</v>
      </c>
      <c r="EO86" s="85">
        <v>57329</v>
      </c>
      <c r="EP86" s="67"/>
      <c r="EQ86" s="67"/>
      <c r="ER86" s="67"/>
      <c r="ES86" s="67"/>
      <c r="ET86" s="40">
        <f t="shared" si="44"/>
        <v>0</v>
      </c>
    </row>
    <row r="87" spans="2:150" x14ac:dyDescent="0.4">
      <c r="F87" s="85">
        <v>57526</v>
      </c>
      <c r="G87" s="85"/>
      <c r="H87" s="85">
        <v>57511</v>
      </c>
      <c r="I87" s="40">
        <f>SUM(Y86:Y87,AG86:AG87,AO86:AO87,AV86:AV87,BC86:BC87,BI86:BI87,BO86:BO87,BV86:BV87,CB86:CB87,CI86:CI87,CO86:CO87,CV86:CV87,DC86:DC87,DI86:DI87,DO86:DO87,DU86:DU87,EB86:EB87,EI86:EI87,EP86:EP87)</f>
        <v>165361670.25</v>
      </c>
      <c r="J87" s="40">
        <f>SUM(AA86:AA87,AI86:AI87,AQ86:AQ87,AX86:AX87,BE86:BE87,BK86:BK87,BQ86:BQ87,BX86:BX87,CD86:CD87,CK86:CK87,CQ86:CQ87,CX86:CX87,DE86:DE87,DK86:DK87,DQ86:DQ87,DW86:DW87,ED86:ED87,EK86:EK87,ER86:ER87)</f>
        <v>6468625</v>
      </c>
      <c r="K87" s="40">
        <f>SUM(AB86:AB87,AJ86:AJ87,AR86:AR87,AY86:AY87,BR86:BR87,CE86:CE87,CR86:CR87,CY86:CY87,DX86:DX87,EE86:EE87,EL86:EL87,ES86:ES87)</f>
        <v>175418329.75</v>
      </c>
      <c r="L87" s="40">
        <f>SUM(AC86:AC87,AK86:AK87)</f>
        <v>0</v>
      </c>
      <c r="M87" s="40">
        <f>SUM(I87:L87)</f>
        <v>347248625</v>
      </c>
      <c r="O87" s="85">
        <v>57526</v>
      </c>
      <c r="P87" s="85"/>
      <c r="Q87" s="85">
        <v>57511</v>
      </c>
      <c r="R87" s="40">
        <f t="shared" si="45"/>
        <v>128740000</v>
      </c>
      <c r="S87" s="40">
        <f t="shared" si="46"/>
        <v>3218500</v>
      </c>
      <c r="T87" s="40">
        <f t="shared" si="47"/>
        <v>0</v>
      </c>
      <c r="U87" s="40">
        <f t="shared" si="48"/>
        <v>0</v>
      </c>
      <c r="V87" s="40">
        <f t="shared" si="49"/>
        <v>131958500</v>
      </c>
      <c r="X87" s="85">
        <v>57511</v>
      </c>
      <c r="Y87" s="40"/>
      <c r="Z87" s="101"/>
      <c r="AA87" s="40"/>
      <c r="AB87" s="40"/>
      <c r="AC87" s="40"/>
      <c r="AD87" s="40">
        <f t="shared" si="28"/>
        <v>0</v>
      </c>
      <c r="AF87" s="85">
        <v>57511</v>
      </c>
      <c r="AG87" s="40">
        <v>128740000</v>
      </c>
      <c r="AH87" s="101">
        <v>0.05</v>
      </c>
      <c r="AI87" s="40">
        <v>3218500</v>
      </c>
      <c r="AJ87" s="40">
        <v>0</v>
      </c>
      <c r="AK87" s="40"/>
      <c r="AL87" s="40">
        <f t="shared" si="31"/>
        <v>131958500</v>
      </c>
      <c r="AN87" s="85">
        <v>57511</v>
      </c>
      <c r="AO87" s="40">
        <v>0</v>
      </c>
      <c r="AQ87" s="40">
        <v>0</v>
      </c>
      <c r="AR87" s="40">
        <v>0</v>
      </c>
      <c r="AS87" s="40">
        <f t="shared" si="32"/>
        <v>0</v>
      </c>
      <c r="AU87" s="85">
        <v>57511</v>
      </c>
      <c r="AV87" s="40"/>
      <c r="AW87" s="40"/>
      <c r="AX87" s="40"/>
      <c r="AY87" s="40"/>
      <c r="AZ87" s="40">
        <f t="shared" si="33"/>
        <v>0</v>
      </c>
      <c r="BB87" s="85">
        <v>57511</v>
      </c>
      <c r="BD87" s="40"/>
      <c r="BF87" s="40">
        <f t="shared" si="34"/>
        <v>0</v>
      </c>
      <c r="BH87" s="85">
        <v>57511</v>
      </c>
      <c r="BL87" s="40">
        <f t="shared" si="35"/>
        <v>0</v>
      </c>
      <c r="BN87" s="85">
        <v>57511</v>
      </c>
      <c r="BO87" s="40"/>
      <c r="BP87" s="87"/>
      <c r="BQ87" s="40"/>
      <c r="BR87" s="40"/>
      <c r="BS87" s="40">
        <f t="shared" si="29"/>
        <v>0</v>
      </c>
      <c r="BU87" s="85">
        <v>57511</v>
      </c>
      <c r="BW87" s="87"/>
      <c r="CA87" s="85">
        <v>57511</v>
      </c>
      <c r="CB87" s="40"/>
      <c r="CC87" s="87"/>
      <c r="CD87" s="40"/>
      <c r="CF87" s="40">
        <f t="shared" si="36"/>
        <v>0</v>
      </c>
      <c r="CH87" s="85">
        <v>57511</v>
      </c>
      <c r="CI87" s="40"/>
      <c r="CJ87" s="87"/>
      <c r="CK87" s="40"/>
      <c r="CL87" s="40">
        <f t="shared" si="37"/>
        <v>0</v>
      </c>
      <c r="CN87" s="85">
        <v>57511</v>
      </c>
      <c r="CP87" s="87"/>
      <c r="CS87" s="40">
        <f t="shared" si="38"/>
        <v>0</v>
      </c>
      <c r="CU87" s="85">
        <v>57511</v>
      </c>
      <c r="CW87" s="87"/>
      <c r="CZ87" s="40">
        <f t="shared" si="30"/>
        <v>0</v>
      </c>
      <c r="DA87" s="85"/>
      <c r="DB87" s="85">
        <v>57511</v>
      </c>
      <c r="DC87" s="67"/>
      <c r="DD87" s="67"/>
      <c r="DE87" s="67"/>
      <c r="DF87" s="67"/>
      <c r="DH87" s="85">
        <v>57511</v>
      </c>
      <c r="DI87" s="67"/>
      <c r="DJ87" s="67"/>
      <c r="DK87" s="67"/>
      <c r="DL87" s="40">
        <f t="shared" si="39"/>
        <v>0</v>
      </c>
      <c r="DN87" s="85">
        <v>57511</v>
      </c>
      <c r="DO87" s="67"/>
      <c r="DP87" s="67"/>
      <c r="DQ87" s="67"/>
      <c r="DR87" s="40">
        <f t="shared" si="40"/>
        <v>0</v>
      </c>
      <c r="DT87" s="85">
        <v>57511</v>
      </c>
      <c r="DU87" s="67"/>
      <c r="DV87" s="67"/>
      <c r="DW87" s="67"/>
      <c r="DX87" s="67"/>
      <c r="DY87" s="40">
        <f t="shared" si="41"/>
        <v>0</v>
      </c>
      <c r="EA87" s="85">
        <v>57511</v>
      </c>
      <c r="EB87" s="67"/>
      <c r="EC87" s="67"/>
      <c r="ED87" s="67"/>
      <c r="EE87" s="67"/>
      <c r="EF87" s="40">
        <f t="shared" si="42"/>
        <v>0</v>
      </c>
      <c r="EH87" s="85">
        <v>57511</v>
      </c>
      <c r="EI87" s="67"/>
      <c r="EJ87" s="67"/>
      <c r="EK87" s="67"/>
      <c r="EL87" s="67"/>
      <c r="EM87" s="40">
        <f t="shared" si="43"/>
        <v>0</v>
      </c>
      <c r="EO87" s="85">
        <v>57511</v>
      </c>
      <c r="EP87" s="67"/>
      <c r="EQ87" s="67"/>
      <c r="ER87" s="67"/>
      <c r="ES87" s="67"/>
      <c r="ET87" s="40">
        <f t="shared" si="44"/>
        <v>0</v>
      </c>
    </row>
    <row r="88" spans="2:150" x14ac:dyDescent="0.4">
      <c r="F88" s="85">
        <v>57710</v>
      </c>
      <c r="G88" s="85"/>
      <c r="H88" s="85">
        <v>57694</v>
      </c>
      <c r="I88" s="40"/>
      <c r="O88" s="85">
        <v>57710</v>
      </c>
      <c r="P88" s="85"/>
      <c r="Q88" s="85">
        <v>57694</v>
      </c>
      <c r="R88" s="40">
        <f t="shared" si="45"/>
        <v>0</v>
      </c>
      <c r="S88" s="40">
        <f t="shared" si="46"/>
        <v>0</v>
      </c>
      <c r="T88" s="40">
        <f t="shared" si="47"/>
        <v>0</v>
      </c>
      <c r="U88" s="40">
        <f t="shared" si="48"/>
        <v>0</v>
      </c>
      <c r="V88" s="40">
        <f t="shared" si="49"/>
        <v>0</v>
      </c>
      <c r="X88" s="85">
        <v>57694</v>
      </c>
      <c r="Y88" s="40"/>
      <c r="Z88" s="101"/>
      <c r="AA88" s="40"/>
      <c r="AB88" s="40"/>
      <c r="AC88" s="40"/>
      <c r="AD88" s="40">
        <f t="shared" si="28"/>
        <v>0</v>
      </c>
      <c r="AF88" s="85">
        <v>57694</v>
      </c>
      <c r="AG88" s="40">
        <v>0</v>
      </c>
      <c r="AH88" s="101"/>
      <c r="AI88" s="40">
        <v>0</v>
      </c>
      <c r="AJ88" s="40">
        <v>0</v>
      </c>
      <c r="AK88" s="40"/>
      <c r="AL88" s="40">
        <f t="shared" si="31"/>
        <v>0</v>
      </c>
      <c r="AN88" s="85">
        <v>57694</v>
      </c>
      <c r="AO88" s="40">
        <v>0</v>
      </c>
      <c r="AQ88" s="40">
        <v>0</v>
      </c>
      <c r="AR88" s="40">
        <v>0</v>
      </c>
      <c r="AS88" s="40">
        <f t="shared" si="32"/>
        <v>0</v>
      </c>
      <c r="AU88" s="85">
        <v>57694</v>
      </c>
      <c r="AV88" s="40"/>
      <c r="AW88" s="40"/>
      <c r="AX88" s="40"/>
      <c r="AY88" s="40"/>
      <c r="AZ88" s="40">
        <f t="shared" si="33"/>
        <v>0</v>
      </c>
      <c r="BB88" s="85">
        <v>57694</v>
      </c>
      <c r="BD88" s="40"/>
      <c r="BF88" s="40">
        <f t="shared" si="34"/>
        <v>0</v>
      </c>
      <c r="BH88" s="85">
        <v>57694</v>
      </c>
      <c r="BL88" s="40">
        <f t="shared" si="35"/>
        <v>0</v>
      </c>
      <c r="BN88" s="85">
        <v>57694</v>
      </c>
      <c r="BO88" s="40"/>
      <c r="BP88" s="87"/>
      <c r="BQ88" s="40"/>
      <c r="BR88" s="40"/>
      <c r="BS88" s="40">
        <f t="shared" si="29"/>
        <v>0</v>
      </c>
      <c r="BU88" s="85">
        <v>57694</v>
      </c>
      <c r="BW88" s="87"/>
      <c r="CA88" s="85">
        <v>57694</v>
      </c>
      <c r="CB88" s="40"/>
      <c r="CC88" s="87"/>
      <c r="CD88" s="40"/>
      <c r="CF88" s="40">
        <f t="shared" si="36"/>
        <v>0</v>
      </c>
      <c r="CH88" s="85">
        <v>57694</v>
      </c>
      <c r="CI88" s="40"/>
      <c r="CJ88" s="87"/>
      <c r="CK88" s="40"/>
      <c r="CL88" s="40">
        <f t="shared" si="37"/>
        <v>0</v>
      </c>
      <c r="CN88" s="85">
        <v>57694</v>
      </c>
      <c r="CP88" s="87"/>
      <c r="CS88" s="40">
        <f t="shared" si="38"/>
        <v>0</v>
      </c>
      <c r="CU88" s="85">
        <v>57694</v>
      </c>
      <c r="CW88" s="87"/>
      <c r="CZ88" s="40">
        <f t="shared" si="30"/>
        <v>0</v>
      </c>
      <c r="DA88" s="85"/>
      <c r="DB88" s="85">
        <v>57694</v>
      </c>
      <c r="DC88" s="67"/>
      <c r="DD88" s="67"/>
      <c r="DE88" s="67"/>
      <c r="DF88" s="67"/>
      <c r="DH88" s="85">
        <v>57694</v>
      </c>
      <c r="DI88" s="67"/>
      <c r="DJ88" s="67"/>
      <c r="DK88" s="67"/>
      <c r="DL88" s="40">
        <f t="shared" si="39"/>
        <v>0</v>
      </c>
      <c r="DN88" s="85">
        <v>57694</v>
      </c>
      <c r="DO88" s="67"/>
      <c r="DP88" s="67"/>
      <c r="DQ88" s="67"/>
      <c r="DR88" s="40">
        <f t="shared" si="40"/>
        <v>0</v>
      </c>
      <c r="DT88" s="85">
        <v>57694</v>
      </c>
      <c r="DU88" s="67"/>
      <c r="DV88" s="67"/>
      <c r="DW88" s="67"/>
      <c r="DX88" s="67"/>
      <c r="DY88" s="40">
        <f t="shared" si="41"/>
        <v>0</v>
      </c>
      <c r="EA88" s="85">
        <v>57694</v>
      </c>
      <c r="EB88" s="67"/>
      <c r="EC88" s="67"/>
      <c r="ED88" s="67"/>
      <c r="EE88" s="67"/>
      <c r="EF88" s="40">
        <f t="shared" si="42"/>
        <v>0</v>
      </c>
      <c r="EH88" s="85">
        <v>57694</v>
      </c>
      <c r="EI88" s="67"/>
      <c r="EJ88" s="67"/>
      <c r="EK88" s="67"/>
      <c r="EL88" s="67"/>
      <c r="EM88" s="40">
        <f t="shared" si="43"/>
        <v>0</v>
      </c>
      <c r="EO88" s="85">
        <v>57694</v>
      </c>
      <c r="EP88" s="67"/>
      <c r="EQ88" s="67"/>
      <c r="ER88" s="67"/>
      <c r="ES88" s="67"/>
      <c r="ET88" s="40">
        <f t="shared" si="44"/>
        <v>0</v>
      </c>
    </row>
    <row r="89" spans="2:150" x14ac:dyDescent="0.4">
      <c r="F89" s="85">
        <v>57891</v>
      </c>
      <c r="G89" s="85"/>
      <c r="H89" s="85">
        <v>57876</v>
      </c>
      <c r="I89" s="40">
        <f>SUM(Y88:Y89,AG88:AG89,AO88:AO89,AV88:AV89,BC88:BC89,BI88:BI89,BO88:BO89,BV88:BV89,CB88:CB89,CI88:CI89,CO88:CO89,CV88:CV89,DC88:DC89,DI88:DI89,DO88:DO89,DU88:DU89,EB88:EB89,EI88:EI89,EP88:EP89)</f>
        <v>0</v>
      </c>
      <c r="J89" s="40">
        <f>SUM(AA88:AA89,AI88:AI89,AQ88:AQ89,AX88:AX89,BE88:BE89,BK88:BK89,BQ88:BQ89,BX88:BX89,CD88:CD89,CK88:CK89,CQ88:CQ89,CX88:CX89,DE88:DE89,DK88:DK89,DQ88:DQ89,DW88:DW89,ED88:ED89,EK88:EK89,ER88:ER89)</f>
        <v>0</v>
      </c>
      <c r="K89" s="40">
        <f>SUM(AB88:AB89,AJ88:AJ89,AR88:AR89,AY88:AY89,BR88:BR89,CE88:CE89,CR88:CR89,CY88:CY89,DX88:DX89,EE88:EE89,EL88:EL89,ES88:ES89)</f>
        <v>0</v>
      </c>
      <c r="L89" s="40">
        <f>SUM(AC88:AC89,AK88:AK89)</f>
        <v>0</v>
      </c>
      <c r="M89" s="40">
        <f>SUM(I89:L89)</f>
        <v>0</v>
      </c>
      <c r="O89" s="85">
        <v>57891</v>
      </c>
      <c r="P89" s="85"/>
      <c r="Q89" s="85">
        <v>57876</v>
      </c>
      <c r="R89" s="40">
        <f t="shared" si="45"/>
        <v>0</v>
      </c>
      <c r="S89" s="40">
        <f t="shared" si="46"/>
        <v>0</v>
      </c>
      <c r="T89" s="40">
        <f t="shared" si="47"/>
        <v>0</v>
      </c>
      <c r="U89" s="40">
        <f t="shared" si="48"/>
        <v>0</v>
      </c>
      <c r="V89" s="40">
        <f t="shared" si="49"/>
        <v>0</v>
      </c>
      <c r="X89" s="85">
        <v>57876</v>
      </c>
      <c r="Y89" s="40"/>
      <c r="Z89" s="101"/>
      <c r="AA89" s="40"/>
      <c r="AB89" s="40"/>
      <c r="AC89" s="40"/>
      <c r="AD89" s="40">
        <f t="shared" si="28"/>
        <v>0</v>
      </c>
      <c r="AF89" s="85">
        <v>57876</v>
      </c>
      <c r="AG89" s="40">
        <v>0</v>
      </c>
      <c r="AH89" s="101"/>
      <c r="AI89" s="40">
        <v>0</v>
      </c>
      <c r="AJ89" s="40">
        <v>0</v>
      </c>
      <c r="AK89" s="40"/>
      <c r="AL89" s="40">
        <f t="shared" si="31"/>
        <v>0</v>
      </c>
      <c r="AN89" s="85">
        <v>57876</v>
      </c>
      <c r="AO89" s="40">
        <v>0</v>
      </c>
      <c r="AQ89" s="40">
        <v>0</v>
      </c>
      <c r="AR89" s="40">
        <v>0</v>
      </c>
      <c r="AS89" s="40">
        <f t="shared" si="32"/>
        <v>0</v>
      </c>
      <c r="AU89" s="85">
        <v>57876</v>
      </c>
      <c r="AV89" s="40"/>
      <c r="AW89" s="40"/>
      <c r="AX89" s="40"/>
      <c r="AY89" s="40"/>
      <c r="AZ89" s="40">
        <f t="shared" si="33"/>
        <v>0</v>
      </c>
      <c r="BB89" s="85">
        <v>57876</v>
      </c>
      <c r="BD89" s="40"/>
      <c r="BF89" s="40">
        <f t="shared" si="34"/>
        <v>0</v>
      </c>
      <c r="BH89" s="85">
        <v>57876</v>
      </c>
      <c r="BL89" s="40">
        <f t="shared" si="35"/>
        <v>0</v>
      </c>
      <c r="BN89" s="85">
        <v>57876</v>
      </c>
      <c r="BO89" s="40"/>
      <c r="BP89" s="87"/>
      <c r="BQ89" s="40"/>
      <c r="BR89" s="40"/>
      <c r="BS89" s="40">
        <f t="shared" si="29"/>
        <v>0</v>
      </c>
      <c r="BU89" s="85">
        <v>57876</v>
      </c>
      <c r="BW89" s="87"/>
      <c r="CA89" s="85">
        <v>57876</v>
      </c>
      <c r="CB89" s="40"/>
      <c r="CC89" s="87"/>
      <c r="CD89" s="40"/>
      <c r="CF89" s="40">
        <f t="shared" si="36"/>
        <v>0</v>
      </c>
      <c r="CH89" s="85">
        <v>57876</v>
      </c>
      <c r="CI89" s="40"/>
      <c r="CJ89" s="87"/>
      <c r="CK89" s="40"/>
      <c r="CL89" s="40">
        <f t="shared" si="37"/>
        <v>0</v>
      </c>
      <c r="CN89" s="85">
        <v>57876</v>
      </c>
      <c r="CP89" s="87"/>
      <c r="CS89" s="40">
        <f t="shared" si="38"/>
        <v>0</v>
      </c>
      <c r="CU89" s="85">
        <v>57876</v>
      </c>
      <c r="CW89" s="87"/>
      <c r="CZ89" s="40">
        <f t="shared" si="30"/>
        <v>0</v>
      </c>
      <c r="DA89" s="85"/>
      <c r="DB89" s="85">
        <v>57876</v>
      </c>
      <c r="DC89" s="67"/>
      <c r="DD89" s="67"/>
      <c r="DE89" s="67"/>
      <c r="DF89" s="67"/>
      <c r="DH89" s="85">
        <v>57876</v>
      </c>
      <c r="DI89" s="67"/>
      <c r="DJ89" s="67"/>
      <c r="DK89" s="67"/>
      <c r="DL89" s="40">
        <f t="shared" si="39"/>
        <v>0</v>
      </c>
      <c r="DN89" s="85">
        <v>57876</v>
      </c>
      <c r="DO89" s="67"/>
      <c r="DP89" s="67"/>
      <c r="DQ89" s="67"/>
      <c r="DR89" s="40">
        <f t="shared" si="40"/>
        <v>0</v>
      </c>
      <c r="DT89" s="85">
        <v>57876</v>
      </c>
      <c r="DU89" s="67"/>
      <c r="DV89" s="67"/>
      <c r="DW89" s="67"/>
      <c r="DX89" s="67"/>
      <c r="DY89" s="40">
        <f t="shared" si="41"/>
        <v>0</v>
      </c>
      <c r="EA89" s="85">
        <v>57876</v>
      </c>
      <c r="EB89" s="67"/>
      <c r="EC89" s="67"/>
      <c r="ED89" s="67"/>
      <c r="EE89" s="67"/>
      <c r="EF89" s="40">
        <f t="shared" si="42"/>
        <v>0</v>
      </c>
      <c r="EH89" s="85">
        <v>57876</v>
      </c>
      <c r="EI89" s="67"/>
      <c r="EJ89" s="67"/>
      <c r="EK89" s="67"/>
      <c r="EL89" s="67"/>
      <c r="EM89" s="40">
        <f t="shared" si="43"/>
        <v>0</v>
      </c>
      <c r="EO89" s="85">
        <v>57876</v>
      </c>
      <c r="EP89" s="67"/>
      <c r="EQ89" s="67"/>
      <c r="ER89" s="67"/>
      <c r="ES89" s="67"/>
      <c r="ET89" s="40">
        <f t="shared" si="44"/>
        <v>0</v>
      </c>
    </row>
    <row r="90" spans="2:150" x14ac:dyDescent="0.4">
      <c r="F90" s="85">
        <v>58075</v>
      </c>
      <c r="G90" s="85"/>
      <c r="H90" s="85">
        <v>58059</v>
      </c>
      <c r="I90" s="40"/>
      <c r="O90" s="85">
        <v>58075</v>
      </c>
      <c r="P90" s="85"/>
      <c r="Q90" s="85">
        <v>58059</v>
      </c>
      <c r="R90" s="40">
        <f t="shared" si="45"/>
        <v>0</v>
      </c>
      <c r="S90" s="40">
        <f t="shared" si="46"/>
        <v>0</v>
      </c>
      <c r="T90" s="40">
        <f t="shared" si="47"/>
        <v>0</v>
      </c>
      <c r="U90" s="40">
        <f t="shared" si="48"/>
        <v>0</v>
      </c>
      <c r="V90" s="40">
        <f t="shared" si="49"/>
        <v>0</v>
      </c>
      <c r="X90" s="85">
        <v>58059</v>
      </c>
      <c r="Y90" s="40"/>
      <c r="Z90" s="101"/>
      <c r="AA90" s="40"/>
      <c r="AB90" s="40"/>
      <c r="AC90" s="40"/>
      <c r="AD90" s="40">
        <f t="shared" si="28"/>
        <v>0</v>
      </c>
      <c r="AF90" s="85">
        <v>58059</v>
      </c>
      <c r="AG90" s="40">
        <v>0</v>
      </c>
      <c r="AH90" s="101"/>
      <c r="AI90" s="40">
        <v>0</v>
      </c>
      <c r="AJ90" s="40">
        <v>0</v>
      </c>
      <c r="AK90" s="40"/>
      <c r="AL90" s="40">
        <f t="shared" si="31"/>
        <v>0</v>
      </c>
      <c r="AN90" s="85">
        <v>58059</v>
      </c>
      <c r="AO90" s="40">
        <v>0</v>
      </c>
      <c r="AQ90" s="40">
        <v>0</v>
      </c>
      <c r="AR90" s="40">
        <v>0</v>
      </c>
      <c r="AS90" s="40">
        <f t="shared" si="32"/>
        <v>0</v>
      </c>
      <c r="AU90" s="85">
        <v>58059</v>
      </c>
      <c r="AV90" s="40"/>
      <c r="AW90" s="40"/>
      <c r="AX90" s="40"/>
      <c r="AY90" s="40"/>
      <c r="AZ90" s="40">
        <f t="shared" si="33"/>
        <v>0</v>
      </c>
      <c r="BB90" s="85">
        <v>58059</v>
      </c>
      <c r="BD90" s="40"/>
      <c r="BF90" s="40">
        <f t="shared" si="34"/>
        <v>0</v>
      </c>
      <c r="BH90" s="85">
        <v>58059</v>
      </c>
      <c r="BL90" s="40">
        <f t="shared" si="35"/>
        <v>0</v>
      </c>
      <c r="BN90" s="85">
        <v>58059</v>
      </c>
      <c r="BO90" s="40"/>
      <c r="BP90" s="87"/>
      <c r="BQ90" s="40"/>
      <c r="BR90" s="40"/>
      <c r="BS90" s="40">
        <f t="shared" si="29"/>
        <v>0</v>
      </c>
      <c r="BU90" s="85">
        <v>58059</v>
      </c>
      <c r="BW90" s="87"/>
      <c r="CA90" s="85">
        <v>58059</v>
      </c>
      <c r="CB90" s="40"/>
      <c r="CC90" s="87"/>
      <c r="CD90" s="40"/>
      <c r="CF90" s="40">
        <f t="shared" si="36"/>
        <v>0</v>
      </c>
      <c r="CH90" s="85">
        <v>58059</v>
      </c>
      <c r="CI90" s="40"/>
      <c r="CJ90" s="87"/>
      <c r="CK90" s="40"/>
      <c r="CL90" s="40">
        <f t="shared" si="37"/>
        <v>0</v>
      </c>
      <c r="CN90" s="85">
        <v>58059</v>
      </c>
      <c r="CP90" s="87"/>
      <c r="CS90" s="40">
        <f t="shared" si="38"/>
        <v>0</v>
      </c>
      <c r="CU90" s="85">
        <v>58059</v>
      </c>
      <c r="CW90" s="87"/>
      <c r="CZ90" s="40">
        <f t="shared" si="30"/>
        <v>0</v>
      </c>
      <c r="DA90" s="85"/>
      <c r="DB90" s="85">
        <v>58059</v>
      </c>
      <c r="DC90" s="67"/>
      <c r="DD90" s="67"/>
      <c r="DE90" s="67"/>
      <c r="DF90" s="67"/>
      <c r="DH90" s="85">
        <v>58059</v>
      </c>
      <c r="DI90" s="67"/>
      <c r="DJ90" s="67"/>
      <c r="DK90" s="67"/>
      <c r="DL90" s="40">
        <f t="shared" si="39"/>
        <v>0</v>
      </c>
      <c r="DN90" s="85">
        <v>58059</v>
      </c>
      <c r="DO90" s="67"/>
      <c r="DP90" s="67"/>
      <c r="DQ90" s="67"/>
      <c r="DR90" s="40">
        <f t="shared" si="40"/>
        <v>0</v>
      </c>
      <c r="DT90" s="85">
        <v>58059</v>
      </c>
      <c r="DU90" s="67"/>
      <c r="DV90" s="67"/>
      <c r="DW90" s="67"/>
      <c r="DX90" s="67"/>
      <c r="DY90" s="40">
        <f t="shared" si="41"/>
        <v>0</v>
      </c>
      <c r="EA90" s="85">
        <v>58059</v>
      </c>
      <c r="EB90" s="67"/>
      <c r="EC90" s="67"/>
      <c r="ED90" s="67"/>
      <c r="EE90" s="67"/>
      <c r="EF90" s="40">
        <f t="shared" si="42"/>
        <v>0</v>
      </c>
      <c r="EH90" s="85">
        <v>58059</v>
      </c>
      <c r="EI90" s="67"/>
      <c r="EJ90" s="67"/>
      <c r="EK90" s="67"/>
      <c r="EL90" s="67"/>
      <c r="EM90" s="40">
        <f t="shared" si="43"/>
        <v>0</v>
      </c>
      <c r="EO90" s="85">
        <v>58059</v>
      </c>
      <c r="EP90" s="67"/>
      <c r="EQ90" s="67"/>
      <c r="ER90" s="67"/>
      <c r="ES90" s="67"/>
      <c r="ET90" s="40">
        <f t="shared" si="44"/>
        <v>0</v>
      </c>
    </row>
    <row r="91" spans="2:150" x14ac:dyDescent="0.4">
      <c r="F91" s="85">
        <v>58256</v>
      </c>
      <c r="G91" s="85"/>
      <c r="H91" s="85">
        <v>58241</v>
      </c>
      <c r="I91" s="40">
        <f>SUM(Y90:Y91,AG90:AG91,AO90:AO91,AV90:AV91,BC90:BC91,BI90:BI91,BO90:BO91,BV90:BV91,CB90:CB91,CI90:CI91,CO90:CO91,CV90:CV91,DC90:DC91,DI90:DI91,DO90:DO91,DU90:DU91,EB90:EB91,EI90:EI91,EP90:EP91)</f>
        <v>0</v>
      </c>
      <c r="J91" s="40">
        <f>SUM(AA90:AA91,AI90:AI91,AQ90:AQ91,AX90:AX91,BE90:BE91,BK90:BK91,BQ90:BQ91,BX90:BX91,CD90:CD91,CK90:CK91,CQ90:CQ91,CX90:CX91,DE90:DE91,DK90:DK91,DQ90:DQ91,DW90:DW91,ED90:ED91,EK90:EK91,ER90:ER91)</f>
        <v>0</v>
      </c>
      <c r="K91" s="40">
        <f>SUM(AB90:AB91,AJ90:AJ91,AR90:AR91,AY90:AY91,BR90:BR91,CE90:CE91,CR90:CR91,CY90:CY91,DX90:DX91,EE90:EE91,EL90:EL91,ES90:ES91)</f>
        <v>0</v>
      </c>
      <c r="L91" s="40">
        <f>SUM(AC90:AC91,AK90:AK91)</f>
        <v>0</v>
      </c>
      <c r="M91" s="40">
        <f>SUM(I91:L91)</f>
        <v>0</v>
      </c>
      <c r="O91" s="85">
        <v>58256</v>
      </c>
      <c r="P91" s="85"/>
      <c r="Q91" s="85">
        <v>58241</v>
      </c>
      <c r="R91" s="40">
        <f t="shared" si="45"/>
        <v>0</v>
      </c>
      <c r="S91" s="40">
        <f t="shared" si="46"/>
        <v>0</v>
      </c>
      <c r="T91" s="40">
        <f t="shared" si="47"/>
        <v>0</v>
      </c>
      <c r="U91" s="40">
        <f t="shared" si="48"/>
        <v>0</v>
      </c>
      <c r="V91" s="40">
        <f t="shared" si="49"/>
        <v>0</v>
      </c>
      <c r="X91" s="85">
        <v>58241</v>
      </c>
      <c r="Y91" s="40"/>
      <c r="Z91" s="101"/>
      <c r="AA91" s="40"/>
      <c r="AB91" s="40"/>
      <c r="AC91" s="40"/>
      <c r="AD91" s="40">
        <f t="shared" si="28"/>
        <v>0</v>
      </c>
      <c r="AF91" s="85">
        <v>58241</v>
      </c>
      <c r="AG91" s="40">
        <v>0</v>
      </c>
      <c r="AH91" s="101"/>
      <c r="AI91" s="40">
        <v>0</v>
      </c>
      <c r="AJ91" s="40">
        <v>0</v>
      </c>
      <c r="AK91" s="40"/>
      <c r="AL91" s="40">
        <f t="shared" si="31"/>
        <v>0</v>
      </c>
      <c r="AN91" s="85">
        <v>58241</v>
      </c>
      <c r="AO91" s="40">
        <v>0</v>
      </c>
      <c r="AQ91" s="40">
        <v>0</v>
      </c>
      <c r="AR91" s="40">
        <v>0</v>
      </c>
      <c r="AS91" s="40">
        <f t="shared" si="32"/>
        <v>0</v>
      </c>
      <c r="AU91" s="85">
        <v>58241</v>
      </c>
      <c r="AV91" s="40"/>
      <c r="AW91" s="40"/>
      <c r="AX91" s="40"/>
      <c r="AY91" s="40"/>
      <c r="AZ91" s="40">
        <f t="shared" si="33"/>
        <v>0</v>
      </c>
      <c r="BB91" s="85">
        <v>58241</v>
      </c>
      <c r="BD91" s="40"/>
      <c r="BF91" s="40">
        <f t="shared" si="34"/>
        <v>0</v>
      </c>
      <c r="BH91" s="85">
        <v>58241</v>
      </c>
      <c r="BL91" s="40">
        <f t="shared" si="35"/>
        <v>0</v>
      </c>
      <c r="BN91" s="85">
        <v>58241</v>
      </c>
      <c r="BO91" s="40"/>
      <c r="BP91" s="87"/>
      <c r="BQ91" s="40"/>
      <c r="BR91" s="40"/>
      <c r="BS91" s="40">
        <f t="shared" si="29"/>
        <v>0</v>
      </c>
      <c r="BU91" s="85">
        <v>58241</v>
      </c>
      <c r="BW91" s="87"/>
      <c r="CA91" s="85">
        <v>58241</v>
      </c>
      <c r="CB91" s="40"/>
      <c r="CC91" s="87"/>
      <c r="CD91" s="40"/>
      <c r="CF91" s="40">
        <f t="shared" si="36"/>
        <v>0</v>
      </c>
      <c r="CH91" s="85">
        <v>58241</v>
      </c>
      <c r="CI91" s="40"/>
      <c r="CJ91" s="87"/>
      <c r="CK91" s="40"/>
      <c r="CL91" s="40">
        <f t="shared" si="37"/>
        <v>0</v>
      </c>
      <c r="CN91" s="85">
        <v>58241</v>
      </c>
      <c r="CP91" s="87"/>
      <c r="CS91" s="40">
        <f t="shared" si="38"/>
        <v>0</v>
      </c>
      <c r="CU91" s="85">
        <v>58241</v>
      </c>
      <c r="CW91" s="87"/>
      <c r="CZ91" s="40">
        <f t="shared" si="30"/>
        <v>0</v>
      </c>
      <c r="DA91" s="85"/>
      <c r="DB91" s="85">
        <v>58241</v>
      </c>
      <c r="DC91" s="67"/>
      <c r="DD91" s="67"/>
      <c r="DE91" s="67"/>
      <c r="DF91" s="67"/>
      <c r="DH91" s="85">
        <v>58241</v>
      </c>
      <c r="DI91" s="67"/>
      <c r="DJ91" s="67"/>
      <c r="DK91" s="67"/>
      <c r="DL91" s="40">
        <f t="shared" si="39"/>
        <v>0</v>
      </c>
      <c r="DN91" s="85">
        <v>58241</v>
      </c>
      <c r="DO91" s="67"/>
      <c r="DP91" s="67"/>
      <c r="DQ91" s="67"/>
      <c r="DR91" s="40">
        <f t="shared" si="40"/>
        <v>0</v>
      </c>
      <c r="DT91" s="85">
        <v>58241</v>
      </c>
      <c r="DU91" s="67"/>
      <c r="DV91" s="67"/>
      <c r="DW91" s="67"/>
      <c r="DX91" s="67"/>
      <c r="DY91" s="40">
        <f t="shared" si="41"/>
        <v>0</v>
      </c>
      <c r="EA91" s="85">
        <v>58241</v>
      </c>
      <c r="EB91" s="67"/>
      <c r="EC91" s="67"/>
      <c r="ED91" s="67"/>
      <c r="EE91" s="67"/>
      <c r="EF91" s="40">
        <f t="shared" si="42"/>
        <v>0</v>
      </c>
      <c r="EH91" s="85">
        <v>58241</v>
      </c>
      <c r="EI91" s="67"/>
      <c r="EJ91" s="67"/>
      <c r="EK91" s="67"/>
      <c r="EL91" s="67"/>
      <c r="EM91" s="40">
        <f t="shared" si="43"/>
        <v>0</v>
      </c>
      <c r="EO91" s="85">
        <v>58241</v>
      </c>
      <c r="EP91" s="67"/>
      <c r="EQ91" s="67"/>
      <c r="ER91" s="67"/>
      <c r="ES91" s="67"/>
      <c r="ET91" s="40">
        <f t="shared" si="44"/>
        <v>0</v>
      </c>
    </row>
    <row r="92" spans="2:150" x14ac:dyDescent="0.4">
      <c r="F92" s="85">
        <v>58440</v>
      </c>
      <c r="G92" s="85"/>
      <c r="H92" s="85">
        <v>58424</v>
      </c>
      <c r="I92" s="40"/>
      <c r="O92" s="85">
        <v>58440</v>
      </c>
      <c r="P92" s="85"/>
      <c r="Q92" s="85">
        <v>58424</v>
      </c>
      <c r="R92" s="40">
        <f t="shared" si="45"/>
        <v>0</v>
      </c>
      <c r="S92" s="40">
        <f t="shared" si="46"/>
        <v>0</v>
      </c>
      <c r="T92" s="40">
        <f t="shared" si="47"/>
        <v>0</v>
      </c>
      <c r="U92" s="40">
        <f t="shared" si="48"/>
        <v>0</v>
      </c>
      <c r="V92" s="40">
        <f t="shared" si="49"/>
        <v>0</v>
      </c>
      <c r="X92" s="85">
        <v>58424</v>
      </c>
      <c r="Y92" s="40"/>
      <c r="Z92" s="101"/>
      <c r="AA92" s="40"/>
      <c r="AB92" s="40"/>
      <c r="AC92" s="40"/>
      <c r="AD92" s="40">
        <f t="shared" si="28"/>
        <v>0</v>
      </c>
      <c r="AF92" s="85">
        <v>58424</v>
      </c>
      <c r="AG92" s="40">
        <v>0</v>
      </c>
      <c r="AH92" s="101"/>
      <c r="AI92" s="40">
        <v>0</v>
      </c>
      <c r="AJ92" s="40">
        <v>0</v>
      </c>
      <c r="AK92" s="40"/>
      <c r="AL92" s="40">
        <f t="shared" si="31"/>
        <v>0</v>
      </c>
      <c r="AN92" s="85">
        <v>58424</v>
      </c>
      <c r="AO92" s="40">
        <v>0</v>
      </c>
      <c r="AQ92" s="40">
        <v>0</v>
      </c>
      <c r="AR92" s="40">
        <v>0</v>
      </c>
      <c r="AS92" s="40">
        <f t="shared" si="32"/>
        <v>0</v>
      </c>
      <c r="AU92" s="85">
        <v>58424</v>
      </c>
      <c r="AV92" s="40"/>
      <c r="AW92" s="40"/>
      <c r="AX92" s="40"/>
      <c r="AY92" s="40"/>
      <c r="AZ92" s="40">
        <f t="shared" si="33"/>
        <v>0</v>
      </c>
      <c r="BB92" s="85">
        <v>58424</v>
      </c>
      <c r="BD92" s="40"/>
      <c r="BF92" s="40">
        <f t="shared" si="34"/>
        <v>0</v>
      </c>
      <c r="BH92" s="85">
        <v>58424</v>
      </c>
      <c r="BL92" s="40">
        <f t="shared" si="35"/>
        <v>0</v>
      </c>
      <c r="BN92" s="85">
        <v>58424</v>
      </c>
      <c r="BO92" s="40"/>
      <c r="BP92" s="87"/>
      <c r="BQ92" s="40"/>
      <c r="BR92" s="40"/>
      <c r="BS92" s="40">
        <f t="shared" si="29"/>
        <v>0</v>
      </c>
      <c r="BU92" s="85">
        <v>58424</v>
      </c>
      <c r="BW92" s="87"/>
      <c r="CA92" s="85">
        <v>58424</v>
      </c>
      <c r="CB92" s="40"/>
      <c r="CC92" s="87"/>
      <c r="CD92" s="40"/>
      <c r="CF92" s="40">
        <f t="shared" si="36"/>
        <v>0</v>
      </c>
      <c r="CH92" s="85">
        <v>58424</v>
      </c>
      <c r="CI92" s="40"/>
      <c r="CJ92" s="87"/>
      <c r="CK92" s="40"/>
      <c r="CL92" s="40">
        <f t="shared" si="37"/>
        <v>0</v>
      </c>
      <c r="CN92" s="85">
        <v>58424</v>
      </c>
      <c r="CP92" s="87"/>
      <c r="CS92" s="40">
        <f t="shared" si="38"/>
        <v>0</v>
      </c>
      <c r="CU92" s="85">
        <v>58424</v>
      </c>
      <c r="CW92" s="87"/>
      <c r="CZ92" s="40">
        <f t="shared" si="30"/>
        <v>0</v>
      </c>
      <c r="DA92" s="85"/>
      <c r="DB92" s="85">
        <v>58424</v>
      </c>
      <c r="DC92" s="67"/>
      <c r="DD92" s="67"/>
      <c r="DE92" s="67"/>
      <c r="DF92" s="67"/>
      <c r="DH92" s="85">
        <v>58424</v>
      </c>
      <c r="DI92" s="67"/>
      <c r="DJ92" s="67"/>
      <c r="DK92" s="67"/>
      <c r="DL92" s="40">
        <f t="shared" si="39"/>
        <v>0</v>
      </c>
      <c r="DN92" s="85">
        <v>58424</v>
      </c>
      <c r="DO92" s="67"/>
      <c r="DP92" s="67"/>
      <c r="DQ92" s="67"/>
      <c r="DR92" s="40">
        <f t="shared" si="40"/>
        <v>0</v>
      </c>
      <c r="DT92" s="85">
        <v>58424</v>
      </c>
      <c r="DU92" s="67"/>
      <c r="DV92" s="67"/>
      <c r="DW92" s="67"/>
      <c r="DX92" s="67"/>
      <c r="DY92" s="40">
        <f t="shared" si="41"/>
        <v>0</v>
      </c>
      <c r="EA92" s="85">
        <v>58424</v>
      </c>
      <c r="EB92" s="67"/>
      <c r="EC92" s="67"/>
      <c r="ED92" s="67"/>
      <c r="EE92" s="67"/>
      <c r="EF92" s="40">
        <f t="shared" si="42"/>
        <v>0</v>
      </c>
      <c r="EH92" s="85">
        <v>58424</v>
      </c>
      <c r="EI92" s="67"/>
      <c r="EJ92" s="67"/>
      <c r="EK92" s="67"/>
      <c r="EL92" s="67"/>
      <c r="EM92" s="40">
        <f t="shared" si="43"/>
        <v>0</v>
      </c>
      <c r="EO92" s="85">
        <v>58424</v>
      </c>
      <c r="EP92" s="67"/>
      <c r="EQ92" s="67"/>
      <c r="ER92" s="67"/>
      <c r="ES92" s="67"/>
      <c r="ET92" s="40">
        <f t="shared" si="44"/>
        <v>0</v>
      </c>
    </row>
    <row r="93" spans="2:150" x14ac:dyDescent="0.4">
      <c r="F93" s="85">
        <v>58622</v>
      </c>
      <c r="G93" s="85"/>
      <c r="H93" s="85">
        <v>58607</v>
      </c>
      <c r="I93" s="40">
        <f>SUM(Y92:Y93,AG92:AG93,AO92:AO93,AV92:AV93,BC92:BC93,BI92:BI93,BO92:BO93,BV92:BV93,CB92:CB93,CI92:CI93,CO92:CO93,CV92:CV93,DC92:DC93,DI92:DI93,DO92:DO93,DU92:DU93,EB92:EB93,EI92:EI93,EP92:EP93)</f>
        <v>0</v>
      </c>
      <c r="J93" s="40">
        <f>SUM(AA92:AA93,AI92:AI93,AQ92:AQ93,AX92:AX93,BE92:BE93,BK92:BK93,BQ92:BQ93,BX92:BX93,CD92:CD93,CK92:CK93,CQ92:CQ93,CX92:CX93,DE92:DE93,DK92:DK93,DQ92:DQ93,DW92:DW93,ED92:ED93,EK92:EK93,ER92:ER93)</f>
        <v>0</v>
      </c>
      <c r="K93" s="40">
        <f>SUM(AB92:AB93,AJ92:AJ93,AR92:AR93,AY92:AY93,BR92:BR93,CE92:CE93,CR92:CR93,CY92:CY93,DX92:DX93,EE92:EE93,EL92:EL93,ES92:ES93)</f>
        <v>0</v>
      </c>
      <c r="L93" s="40">
        <f>SUM(AC92:AC93,AK92:AK93)</f>
        <v>0</v>
      </c>
      <c r="M93" s="40">
        <f>SUM(I93:L93)</f>
        <v>0</v>
      </c>
      <c r="O93" s="85">
        <v>58622</v>
      </c>
      <c r="P93" s="85"/>
      <c r="Q93" s="85">
        <v>58607</v>
      </c>
      <c r="R93" s="40">
        <f t="shared" si="45"/>
        <v>0</v>
      </c>
      <c r="S93" s="40">
        <f t="shared" si="46"/>
        <v>0</v>
      </c>
      <c r="T93" s="40">
        <f t="shared" si="47"/>
        <v>0</v>
      </c>
      <c r="U93" s="40">
        <f t="shared" si="48"/>
        <v>0</v>
      </c>
      <c r="V93" s="40">
        <f t="shared" si="49"/>
        <v>0</v>
      </c>
      <c r="X93" s="85">
        <v>58607</v>
      </c>
      <c r="Y93" s="40"/>
      <c r="Z93" s="101"/>
      <c r="AA93" s="40"/>
      <c r="AB93" s="40"/>
      <c r="AC93" s="40"/>
      <c r="AD93" s="40">
        <f t="shared" si="28"/>
        <v>0</v>
      </c>
      <c r="AF93" s="85">
        <v>58607</v>
      </c>
      <c r="AG93" s="40">
        <v>0</v>
      </c>
      <c r="AH93" s="101"/>
      <c r="AI93" s="40">
        <v>0</v>
      </c>
      <c r="AJ93" s="40">
        <v>0</v>
      </c>
      <c r="AK93" s="40"/>
      <c r="AL93" s="40">
        <f t="shared" si="31"/>
        <v>0</v>
      </c>
      <c r="AN93" s="85">
        <v>58607</v>
      </c>
      <c r="AO93" s="40">
        <v>0</v>
      </c>
      <c r="AQ93" s="40">
        <v>0</v>
      </c>
      <c r="AR93" s="40">
        <v>0</v>
      </c>
      <c r="AS93" s="40">
        <f t="shared" si="32"/>
        <v>0</v>
      </c>
      <c r="AU93" s="85">
        <v>58607</v>
      </c>
      <c r="AV93" s="40"/>
      <c r="AW93" s="40"/>
      <c r="AX93" s="40"/>
      <c r="AY93" s="40"/>
      <c r="AZ93" s="40">
        <f t="shared" si="33"/>
        <v>0</v>
      </c>
      <c r="BB93" s="85">
        <v>58607</v>
      </c>
      <c r="BD93" s="40"/>
      <c r="BF93" s="40">
        <f t="shared" si="34"/>
        <v>0</v>
      </c>
      <c r="BH93" s="85">
        <v>58607</v>
      </c>
      <c r="BL93" s="40">
        <f t="shared" si="35"/>
        <v>0</v>
      </c>
      <c r="BN93" s="85">
        <v>58607</v>
      </c>
      <c r="BO93" s="40"/>
      <c r="BP93" s="87"/>
      <c r="BQ93" s="40"/>
      <c r="BR93" s="40"/>
      <c r="BS93" s="40">
        <f t="shared" si="29"/>
        <v>0</v>
      </c>
      <c r="BU93" s="85">
        <v>58607</v>
      </c>
      <c r="BW93" s="87"/>
      <c r="CA93" s="85">
        <v>58607</v>
      </c>
      <c r="CB93" s="40"/>
      <c r="CC93" s="87"/>
      <c r="CD93" s="40"/>
      <c r="CF93" s="40">
        <f t="shared" si="36"/>
        <v>0</v>
      </c>
      <c r="CH93" s="85">
        <v>58607</v>
      </c>
      <c r="CI93" s="40"/>
      <c r="CJ93" s="87"/>
      <c r="CK93" s="40"/>
      <c r="CL93" s="40">
        <f t="shared" si="37"/>
        <v>0</v>
      </c>
      <c r="CN93" s="85">
        <v>58607</v>
      </c>
      <c r="CP93" s="87"/>
      <c r="CS93" s="40">
        <f t="shared" si="38"/>
        <v>0</v>
      </c>
      <c r="CU93" s="85">
        <v>58607</v>
      </c>
      <c r="CW93" s="87"/>
      <c r="CZ93" s="40">
        <f t="shared" si="30"/>
        <v>0</v>
      </c>
      <c r="DA93" s="85"/>
      <c r="DB93" s="85">
        <v>58607</v>
      </c>
      <c r="DC93" s="67"/>
      <c r="DD93" s="67"/>
      <c r="DE93" s="67"/>
      <c r="DF93" s="67"/>
      <c r="DH93" s="85">
        <v>58607</v>
      </c>
      <c r="DI93" s="67"/>
      <c r="DJ93" s="67"/>
      <c r="DK93" s="67"/>
      <c r="DL93" s="40">
        <f t="shared" si="39"/>
        <v>0</v>
      </c>
      <c r="DN93" s="85">
        <v>58607</v>
      </c>
      <c r="DO93" s="67"/>
      <c r="DP93" s="67"/>
      <c r="DQ93" s="67"/>
      <c r="DR93" s="40">
        <f t="shared" si="40"/>
        <v>0</v>
      </c>
      <c r="DT93" s="85">
        <v>58607</v>
      </c>
      <c r="DU93" s="67"/>
      <c r="DV93" s="67"/>
      <c r="DW93" s="67"/>
      <c r="DX93" s="67"/>
      <c r="DY93" s="40">
        <f t="shared" si="41"/>
        <v>0</v>
      </c>
      <c r="EA93" s="85">
        <v>58607</v>
      </c>
      <c r="EB93" s="67"/>
      <c r="EC93" s="67"/>
      <c r="ED93" s="67"/>
      <c r="EE93" s="67"/>
      <c r="EF93" s="40">
        <f t="shared" si="42"/>
        <v>0</v>
      </c>
      <c r="EH93" s="85">
        <v>58607</v>
      </c>
      <c r="EI93" s="67"/>
      <c r="EJ93" s="67"/>
      <c r="EK93" s="67"/>
      <c r="EL93" s="67"/>
      <c r="EM93" s="40">
        <f t="shared" si="43"/>
        <v>0</v>
      </c>
      <c r="EO93" s="85">
        <v>58607</v>
      </c>
      <c r="EP93" s="67"/>
      <c r="EQ93" s="67"/>
      <c r="ER93" s="67"/>
      <c r="ES93" s="67"/>
      <c r="ET93" s="40">
        <f t="shared" si="44"/>
        <v>0</v>
      </c>
    </row>
    <row r="94" spans="2:150" x14ac:dyDescent="0.4">
      <c r="AH94" s="101"/>
    </row>
    <row r="95" spans="2:150" x14ac:dyDescent="0.4">
      <c r="B95" s="95" t="s">
        <v>44</v>
      </c>
      <c r="C95" s="96">
        <v>12779385912.57</v>
      </c>
      <c r="F95" s="95" t="s">
        <v>44</v>
      </c>
      <c r="G95" s="95"/>
      <c r="H95" s="95"/>
      <c r="I95" s="96">
        <f>SUM(I11:I94)</f>
        <v>2979133481.2000003</v>
      </c>
      <c r="J95" s="96">
        <f>SUM(J11:J94)</f>
        <v>2755810044.27</v>
      </c>
      <c r="K95" s="96">
        <f>SUM(K11:K94)</f>
        <v>6725681207.8999996</v>
      </c>
      <c r="L95" s="96">
        <f>SUM(L11:L94)</f>
        <v>0</v>
      </c>
      <c r="M95" s="96">
        <f>SUM(M11:M94)</f>
        <v>12460624733.370001</v>
      </c>
      <c r="O95" s="95" t="s">
        <v>44</v>
      </c>
      <c r="P95" s="95"/>
      <c r="Q95" s="95"/>
      <c r="R95" s="96">
        <f>SUM(R11:R94)</f>
        <v>2979133481.1999998</v>
      </c>
      <c r="S95" s="96">
        <f>SUM(S11:S94)</f>
        <v>2755810044.27</v>
      </c>
      <c r="T95" s="96">
        <f>SUM(T11:T94)</f>
        <v>6725681207.9000025</v>
      </c>
      <c r="U95" s="96">
        <f>SUM(U11:U94)</f>
        <v>0</v>
      </c>
      <c r="V95" s="96">
        <f>SUM(V11:V94)</f>
        <v>12460624733.370001</v>
      </c>
      <c r="X95" s="95" t="s">
        <v>44</v>
      </c>
      <c r="Y95" s="96">
        <f>SUM(Y11:Y94)</f>
        <v>55948926.100000001</v>
      </c>
      <c r="Z95" s="96"/>
      <c r="AA95" s="96">
        <f>SUM(AA11:AA94)</f>
        <v>16916313.02</v>
      </c>
      <c r="AB95" s="96">
        <f>SUM(AB11:AB94)</f>
        <v>7271073.8999999985</v>
      </c>
      <c r="AC95" s="96">
        <f>SUM(AC11:AC94)</f>
        <v>0</v>
      </c>
      <c r="AD95" s="96">
        <f>SUM(AD11:AD94)</f>
        <v>80136313.019999996</v>
      </c>
      <c r="AF95" s="95" t="s">
        <v>44</v>
      </c>
      <c r="AG95" s="96">
        <f>SUM(AG11:AG94)</f>
        <v>246729577.80000001</v>
      </c>
      <c r="AH95" s="96"/>
      <c r="AI95" s="96">
        <f>SUM(AI11:AI94)</f>
        <v>354477875</v>
      </c>
      <c r="AJ95" s="96">
        <f>SUM(AJ11:AJ94)</f>
        <v>339931665.64999998</v>
      </c>
      <c r="AK95" s="96">
        <f>SUM(AK11:AK94)</f>
        <v>0</v>
      </c>
      <c r="AL95" s="96">
        <f>SUM(AL11:AL94)</f>
        <v>941139118.44999993</v>
      </c>
      <c r="AN95" s="95" t="s">
        <v>44</v>
      </c>
      <c r="AO95" s="96">
        <f>SUM(AO11:AO94)</f>
        <v>225776146.75</v>
      </c>
      <c r="AP95" s="188"/>
      <c r="AQ95" s="96">
        <f>SUM(AQ11:AQ94)</f>
        <v>60326828.75</v>
      </c>
      <c r="AR95" s="96">
        <f>SUM(AR11:AR94)</f>
        <v>734766213.39999998</v>
      </c>
      <c r="AS95" s="96">
        <f>SUM(AS11:AS94)</f>
        <v>1020869188.9</v>
      </c>
      <c r="AU95" s="95" t="s">
        <v>44</v>
      </c>
      <c r="AV95" s="96">
        <f>SUM(AV11:AV94)</f>
        <v>153154550</v>
      </c>
      <c r="AW95" s="96"/>
      <c r="AX95" s="96">
        <f>SUM(AX11:AX94)</f>
        <v>232925250</v>
      </c>
      <c r="AY95" s="96">
        <f>SUM(AY11:AY94)</f>
        <v>171870450</v>
      </c>
      <c r="AZ95" s="96">
        <f>SUM(AZ11:AZ94)</f>
        <v>557950250</v>
      </c>
      <c r="BB95" s="95" t="s">
        <v>44</v>
      </c>
      <c r="BC95" s="96">
        <f>SUM(BC11:BC94)</f>
        <v>66215000</v>
      </c>
      <c r="BD95" s="96"/>
      <c r="BE95" s="96">
        <f>SUM(BE11:BE94)</f>
        <v>79511500</v>
      </c>
      <c r="BF95" s="96">
        <f>SUM(BF11:BF94)</f>
        <v>145726500</v>
      </c>
      <c r="BH95" s="95" t="s">
        <v>44</v>
      </c>
      <c r="BI95" s="96">
        <f>SUM(BI11:BI94)</f>
        <v>97075000</v>
      </c>
      <c r="BJ95" s="96"/>
      <c r="BK95" s="96">
        <f>SUM(BK11:BK94)</f>
        <v>110422875</v>
      </c>
      <c r="BL95" s="96">
        <f>SUM(BL11:BL94)</f>
        <v>207497875</v>
      </c>
      <c r="BN95" s="95" t="s">
        <v>44</v>
      </c>
      <c r="BO95" s="96">
        <f>SUM(BO11:BO94)</f>
        <v>714963759.89999998</v>
      </c>
      <c r="BP95" s="96"/>
      <c r="BQ95" s="96">
        <f>SUM(BQ11:BQ94)</f>
        <v>493168318.75</v>
      </c>
      <c r="BR95" s="96">
        <f>SUM(BR11:BR94)</f>
        <v>510077325.60000002</v>
      </c>
      <c r="BS95" s="96">
        <f>SUM(BS11:BS94)</f>
        <v>1718209404.25</v>
      </c>
      <c r="BU95" s="95" t="s">
        <v>44</v>
      </c>
      <c r="BV95" s="96">
        <f>SUM(BV11:BV94)</f>
        <v>0</v>
      </c>
      <c r="BW95" s="96"/>
      <c r="BX95" s="96">
        <f>SUM(BX11:BX94)</f>
        <v>0</v>
      </c>
      <c r="BY95" s="96">
        <f>SUM(BY11:BY94)</f>
        <v>0</v>
      </c>
      <c r="BZ95" s="67"/>
      <c r="CA95" s="95" t="s">
        <v>44</v>
      </c>
      <c r="CB95" s="96">
        <f>SUM(CB11:CB94)</f>
        <v>918184497.39999998</v>
      </c>
      <c r="CC95" s="96"/>
      <c r="CD95" s="96">
        <f>SUM(CD11:CD94)</f>
        <v>1072773388.75</v>
      </c>
      <c r="CE95" s="96">
        <f>SUM(CE11:CE94)</f>
        <v>1200035502.5999999</v>
      </c>
      <c r="CF95" s="96">
        <f>SUM(CF11:CF94)</f>
        <v>3190993388.75</v>
      </c>
      <c r="CH95" s="95" t="s">
        <v>44</v>
      </c>
      <c r="CI95" s="96">
        <f>SUM(CI11:CI94)</f>
        <v>151880000</v>
      </c>
      <c r="CJ95" s="96"/>
      <c r="CK95" s="96">
        <f>SUM(CK11:CK94)</f>
        <v>256866912.5</v>
      </c>
      <c r="CL95" s="96">
        <f>SUM(CL11:CL94)</f>
        <v>408746912.5</v>
      </c>
      <c r="CM95" s="67"/>
      <c r="CN95" s="95" t="s">
        <v>44</v>
      </c>
      <c r="CO95" s="96">
        <f>SUM(CO11:CO94)</f>
        <v>123286623.69999999</v>
      </c>
      <c r="CP95" s="96"/>
      <c r="CQ95" s="96">
        <f>SUM(CQ11:CQ94)</f>
        <v>31248315</v>
      </c>
      <c r="CR95" s="96">
        <f>SUM(CR11:CR94)</f>
        <v>3207273376.3000002</v>
      </c>
      <c r="CS95" s="96">
        <f>SUM(CS11:CS94)</f>
        <v>3361808315</v>
      </c>
      <c r="CT95" s="67"/>
      <c r="CU95" s="95" t="s">
        <v>44</v>
      </c>
      <c r="CV95" s="96">
        <f>SUM(CV11:CV94)</f>
        <v>31575329.75</v>
      </c>
      <c r="CW95" s="96"/>
      <c r="CX95" s="96">
        <f>SUM(CX11:CX94)</f>
        <v>12817267.5</v>
      </c>
      <c r="CY95" s="96">
        <f>SUM(CY11:CY94)</f>
        <v>41124670.25</v>
      </c>
      <c r="CZ95" s="96">
        <f>SUM(CZ11:CZ94)</f>
        <v>85517267.5</v>
      </c>
      <c r="DA95" s="67"/>
      <c r="DB95" s="95" t="s">
        <v>44</v>
      </c>
      <c r="DC95" s="96">
        <f>SUM(DC11:DC94)</f>
        <v>0</v>
      </c>
      <c r="DD95" s="96">
        <v>0</v>
      </c>
      <c r="DE95" s="96">
        <f>SUM(DE11:DE94)</f>
        <v>0</v>
      </c>
      <c r="DF95" s="96">
        <f>SUM(DF11:DF94)</f>
        <v>0</v>
      </c>
      <c r="DG95" s="67"/>
      <c r="DH95" s="95" t="s">
        <v>44</v>
      </c>
      <c r="DI95" s="96">
        <f>SUM(DI11:DI94)</f>
        <v>81445000</v>
      </c>
      <c r="DJ95" s="96"/>
      <c r="DK95" s="96">
        <f>SUM(DK11:DK94)</f>
        <v>31817500</v>
      </c>
      <c r="DL95" s="96">
        <f>SUM(DL11:DL94)</f>
        <v>113262500</v>
      </c>
      <c r="DM95" s="67"/>
      <c r="DN95" s="95" t="s">
        <v>44</v>
      </c>
      <c r="DO95" s="96">
        <f>SUM(DO11:DO94)</f>
        <v>14795000</v>
      </c>
      <c r="DP95" s="96"/>
      <c r="DQ95" s="96">
        <f>SUM(DQ11:DQ94)</f>
        <v>2537700</v>
      </c>
      <c r="DR95" s="96">
        <f>SUM(DR11:DR94)</f>
        <v>17332700</v>
      </c>
      <c r="DS95" s="95"/>
      <c r="DT95" s="95" t="s">
        <v>44</v>
      </c>
      <c r="DU95" s="96">
        <f>SUM(DU11:DU94)</f>
        <v>58802733.450000003</v>
      </c>
      <c r="DV95" s="96"/>
      <c r="DW95" s="96">
        <f>SUM(DW11:DW94)</f>
        <v>0</v>
      </c>
      <c r="DX95" s="96">
        <f>SUM(DX11:DX94)</f>
        <v>239457266.55000001</v>
      </c>
      <c r="DY95" s="96">
        <f>SUM(DY11:DY94)</f>
        <v>298260000</v>
      </c>
      <c r="EA95" s="95" t="s">
        <v>44</v>
      </c>
      <c r="EB95" s="96">
        <f>SUM(EB11:EB94)</f>
        <v>21826988</v>
      </c>
      <c r="EC95" s="96"/>
      <c r="ED95" s="96">
        <f>SUM(ED11:ED94)</f>
        <v>0</v>
      </c>
      <c r="EE95" s="96">
        <f>SUM(EE11:EE94)</f>
        <v>182353012</v>
      </c>
      <c r="EF95" s="96">
        <f>SUM(EF11:EF94)</f>
        <v>204180000</v>
      </c>
      <c r="EH95" s="95" t="s">
        <v>44</v>
      </c>
      <c r="EI95" s="96">
        <f>SUM(EI11:EI94)</f>
        <v>3600680.9</v>
      </c>
      <c r="EJ95" s="96"/>
      <c r="EK95" s="96">
        <f>SUM(EK11:EK94)</f>
        <v>0</v>
      </c>
      <c r="EL95" s="96">
        <f>SUM(EL11:EL94)</f>
        <v>17424319.099999998</v>
      </c>
      <c r="EM95" s="96">
        <f>SUM(EM11:EM94)</f>
        <v>21025000</v>
      </c>
      <c r="EO95" s="95" t="s">
        <v>44</v>
      </c>
      <c r="EP95" s="96">
        <f>SUM(EP11:EP94)</f>
        <v>13873667.449999999</v>
      </c>
      <c r="EQ95" s="96"/>
      <c r="ER95" s="96">
        <f>SUM(ER11:ER94)</f>
        <v>0</v>
      </c>
      <c r="ES95" s="96">
        <f>SUM(ES11:ES94)</f>
        <v>74096332.549999997</v>
      </c>
      <c r="ET95" s="96">
        <f>SUM(ET11:ET94)</f>
        <v>87970000</v>
      </c>
    </row>
    <row r="96" spans="2:150" x14ac:dyDescent="0.4">
      <c r="X96" s="97"/>
      <c r="Y96" s="98"/>
      <c r="Z96" s="98"/>
      <c r="AA96" s="98"/>
      <c r="AB96" s="98"/>
      <c r="AC96" s="73"/>
      <c r="AF96" s="97"/>
      <c r="AG96" s="98"/>
      <c r="AH96" s="98"/>
      <c r="AI96" s="98"/>
      <c r="AJ96" s="98"/>
      <c r="AK96" s="73"/>
      <c r="AN96" s="97"/>
      <c r="AO96" s="98"/>
      <c r="AP96" s="189"/>
      <c r="AQ96" s="98"/>
      <c r="AR96" s="98"/>
      <c r="AU96" s="97"/>
      <c r="AV96" s="98"/>
      <c r="AW96" s="98"/>
      <c r="AX96" s="98"/>
      <c r="AY96" s="98"/>
      <c r="BB96" s="97"/>
      <c r="BC96" s="98"/>
      <c r="BD96" s="98"/>
      <c r="BE96" s="98"/>
      <c r="BF96" s="98"/>
      <c r="BH96" s="97"/>
      <c r="BI96" s="98"/>
      <c r="BJ96" s="98"/>
      <c r="BK96" s="98"/>
      <c r="BL96" s="98"/>
      <c r="BN96" s="97"/>
      <c r="BO96" s="98"/>
      <c r="BP96" s="98"/>
      <c r="BQ96" s="98"/>
      <c r="BR96" s="98"/>
    </row>
    <row r="97" spans="3:71" x14ac:dyDescent="0.4">
      <c r="X97" s="99"/>
      <c r="Y97" s="73"/>
      <c r="Z97" s="73"/>
      <c r="AA97" s="73"/>
      <c r="AB97" s="73"/>
      <c r="AC97" s="73"/>
      <c r="AF97" s="99"/>
      <c r="AG97" s="73"/>
      <c r="AH97" s="73"/>
      <c r="AI97" s="73"/>
      <c r="AJ97" s="73"/>
      <c r="AK97" s="73"/>
      <c r="AN97" s="99"/>
      <c r="AO97" s="73"/>
      <c r="AP97" s="184"/>
      <c r="AQ97" s="73"/>
      <c r="AR97" s="73"/>
      <c r="AU97" s="99"/>
      <c r="AV97" s="73"/>
      <c r="AW97" s="73"/>
      <c r="AX97" s="73"/>
      <c r="AY97" s="73"/>
      <c r="BB97" s="99"/>
      <c r="BC97" s="73"/>
      <c r="BD97" s="73"/>
      <c r="BE97" s="73"/>
      <c r="BF97" s="73"/>
      <c r="BH97" s="99"/>
      <c r="BI97" s="73"/>
      <c r="BJ97" s="73"/>
      <c r="BK97" s="73"/>
      <c r="BL97" s="73"/>
      <c r="BN97" s="99"/>
      <c r="BO97" s="73"/>
      <c r="BP97" s="73"/>
      <c r="BQ97" s="73"/>
      <c r="BR97" s="73"/>
    </row>
    <row r="98" spans="3:71" x14ac:dyDescent="0.4">
      <c r="X98" s="67"/>
      <c r="Y98" s="67"/>
      <c r="Z98" s="67"/>
      <c r="AA98" s="67"/>
      <c r="AB98" s="67"/>
      <c r="AC98" s="67"/>
      <c r="AD98" s="67"/>
      <c r="AF98" s="67"/>
      <c r="AG98" s="67"/>
      <c r="AH98" s="67"/>
      <c r="AI98" s="67"/>
      <c r="AJ98" s="67"/>
      <c r="AK98" s="67"/>
      <c r="AL98" s="67"/>
      <c r="AN98" s="67"/>
      <c r="AO98" s="67"/>
      <c r="AP98" s="190"/>
      <c r="AQ98" s="67"/>
      <c r="AR98" s="67"/>
      <c r="AS98" s="67"/>
      <c r="AU98" s="67"/>
      <c r="AV98" s="67"/>
      <c r="AW98" s="67"/>
      <c r="AX98" s="67"/>
      <c r="AY98" s="67"/>
      <c r="AZ98" s="67"/>
      <c r="BB98" s="67"/>
      <c r="BC98" s="67"/>
      <c r="BD98" s="67"/>
      <c r="BE98" s="67"/>
      <c r="BF98" s="67"/>
      <c r="BH98" s="67"/>
      <c r="BI98" s="67"/>
      <c r="BJ98" s="67"/>
      <c r="BK98" s="67"/>
      <c r="BL98" s="67"/>
      <c r="BM98" s="67"/>
      <c r="BN98" s="67"/>
      <c r="BO98" s="67"/>
      <c r="BP98" s="67"/>
      <c r="BQ98" s="67"/>
      <c r="BR98" s="67"/>
      <c r="BS98" s="67"/>
    </row>
    <row r="99" spans="3:71" x14ac:dyDescent="0.4">
      <c r="X99" s="67"/>
      <c r="Y99" s="67"/>
      <c r="Z99" s="67"/>
      <c r="AA99" s="67"/>
      <c r="AB99" s="67"/>
      <c r="AC99" s="67"/>
      <c r="AD99" s="67"/>
      <c r="AF99" s="67"/>
      <c r="AG99" s="67"/>
      <c r="AH99" s="67"/>
      <c r="AI99" s="67"/>
      <c r="AJ99" s="67"/>
      <c r="AK99" s="67"/>
      <c r="AL99" s="67"/>
      <c r="AN99" s="67"/>
      <c r="AO99" s="67"/>
      <c r="AP99" s="190"/>
      <c r="AQ99" s="67"/>
      <c r="AR99" s="67"/>
      <c r="AS99" s="67"/>
      <c r="AU99" s="67"/>
      <c r="AV99" s="67"/>
      <c r="AW99" s="67"/>
      <c r="AX99" s="67"/>
      <c r="AY99" s="67"/>
      <c r="AZ99" s="67"/>
      <c r="BB99" s="67"/>
      <c r="BC99" s="67"/>
      <c r="BD99" s="67"/>
      <c r="BE99" s="67"/>
      <c r="BF99" s="67"/>
      <c r="BH99" s="67"/>
      <c r="BI99" s="67"/>
      <c r="BJ99" s="67"/>
      <c r="BK99" s="67"/>
      <c r="BL99" s="67"/>
      <c r="BM99" s="67"/>
      <c r="BN99" s="67"/>
      <c r="BO99" s="67"/>
      <c r="BP99" s="67"/>
      <c r="BQ99" s="67"/>
      <c r="BR99" s="67"/>
      <c r="BS99" s="67"/>
    </row>
    <row r="100" spans="3:71" x14ac:dyDescent="0.4">
      <c r="X100" s="67"/>
      <c r="Y100" s="67"/>
      <c r="Z100" s="67"/>
      <c r="AA100" s="67"/>
      <c r="AB100" s="67"/>
      <c r="AC100" s="67"/>
      <c r="AD100" s="67"/>
      <c r="AF100" s="67"/>
      <c r="AG100" s="67"/>
      <c r="AH100" s="67"/>
      <c r="AI100" s="67"/>
      <c r="AJ100" s="67"/>
      <c r="AK100" s="67"/>
      <c r="AL100" s="67"/>
      <c r="AN100" s="67"/>
      <c r="AO100" s="67"/>
      <c r="AP100" s="190"/>
      <c r="AQ100" s="67"/>
      <c r="AR100" s="67"/>
      <c r="AS100" s="67"/>
      <c r="AU100" s="67"/>
      <c r="AV100" s="67"/>
      <c r="AW100" s="67"/>
      <c r="AX100" s="67"/>
      <c r="AY100" s="67"/>
      <c r="AZ100" s="67"/>
      <c r="BB100" s="67"/>
      <c r="BC100" s="67"/>
      <c r="BD100" s="67"/>
      <c r="BE100" s="67"/>
      <c r="BF100" s="67"/>
      <c r="BH100" s="67"/>
      <c r="BI100" s="67"/>
      <c r="BJ100" s="67"/>
      <c r="BK100" s="67"/>
      <c r="BL100" s="67"/>
      <c r="BM100" s="67"/>
      <c r="BN100" s="67"/>
      <c r="BO100" s="67"/>
      <c r="BP100" s="67"/>
      <c r="BQ100" s="67"/>
      <c r="BR100" s="67"/>
      <c r="BS100" s="67"/>
    </row>
    <row r="101" spans="3:71" x14ac:dyDescent="0.4">
      <c r="X101" s="67"/>
      <c r="Y101" s="67"/>
      <c r="Z101" s="67"/>
      <c r="AA101" s="67"/>
      <c r="AB101" s="67"/>
      <c r="AC101" s="67"/>
      <c r="AD101" s="67"/>
      <c r="AF101" s="67"/>
      <c r="AG101" s="67"/>
      <c r="AH101" s="67"/>
      <c r="AI101" s="67"/>
      <c r="AJ101" s="67"/>
      <c r="AK101" s="67"/>
      <c r="AL101" s="67"/>
      <c r="AN101" s="67"/>
      <c r="AO101" s="67"/>
      <c r="AP101" s="190"/>
      <c r="AQ101" s="67"/>
      <c r="AR101" s="67"/>
      <c r="AS101" s="67"/>
      <c r="AU101" s="67"/>
      <c r="AV101" s="67"/>
      <c r="AW101" s="67"/>
      <c r="AX101" s="67"/>
      <c r="AY101" s="67"/>
      <c r="AZ101" s="67"/>
      <c r="BB101" s="67"/>
      <c r="BC101" s="67"/>
      <c r="BD101" s="67"/>
      <c r="BE101" s="67"/>
      <c r="BF101" s="67"/>
      <c r="BH101" s="67"/>
      <c r="BI101" s="67"/>
      <c r="BJ101" s="67"/>
      <c r="BK101" s="67"/>
      <c r="BL101" s="67"/>
      <c r="BM101" s="67"/>
      <c r="BN101" s="67"/>
      <c r="BO101" s="67"/>
      <c r="BP101" s="67"/>
      <c r="BQ101" s="67"/>
      <c r="BR101" s="67"/>
      <c r="BS101" s="67"/>
    </row>
    <row r="102" spans="3:71" x14ac:dyDescent="0.4">
      <c r="X102" s="67"/>
      <c r="Y102" s="67"/>
      <c r="Z102" s="67"/>
      <c r="AA102" s="67"/>
      <c r="AB102" s="67"/>
      <c r="AC102" s="67"/>
      <c r="AD102" s="67"/>
      <c r="AF102" s="67"/>
      <c r="AG102" s="67"/>
      <c r="AH102" s="67"/>
      <c r="AI102" s="67"/>
      <c r="AJ102" s="67"/>
      <c r="AK102" s="67"/>
      <c r="AL102" s="67"/>
      <c r="AN102" s="67"/>
      <c r="AO102" s="67"/>
      <c r="AP102" s="190"/>
      <c r="AQ102" s="67"/>
      <c r="AR102" s="67"/>
      <c r="AS102" s="67"/>
      <c r="AU102" s="67"/>
      <c r="AV102" s="67"/>
      <c r="AW102" s="67"/>
      <c r="AX102" s="67"/>
      <c r="AY102" s="67"/>
      <c r="AZ102" s="67"/>
      <c r="BB102" s="67"/>
      <c r="BC102" s="67"/>
      <c r="BD102" s="67"/>
      <c r="BE102" s="67"/>
      <c r="BF102" s="67"/>
      <c r="BH102" s="67"/>
      <c r="BI102" s="67"/>
      <c r="BJ102" s="67"/>
      <c r="BK102" s="67"/>
      <c r="BL102" s="67"/>
      <c r="BM102" s="67"/>
      <c r="BN102" s="67"/>
      <c r="BO102" s="67"/>
      <c r="BP102" s="67"/>
      <c r="BQ102" s="67"/>
      <c r="BR102" s="67"/>
      <c r="BS102" s="67"/>
    </row>
    <row r="103" spans="3:71" x14ac:dyDescent="0.4">
      <c r="C103" s="100">
        <v>190646046.76999998</v>
      </c>
      <c r="X103" s="67"/>
      <c r="Y103" s="67"/>
      <c r="Z103" s="67"/>
      <c r="AA103" s="67"/>
      <c r="AB103" s="67"/>
      <c r="AC103" s="67"/>
      <c r="AD103" s="67"/>
      <c r="AF103" s="67"/>
      <c r="AG103" s="67"/>
      <c r="AH103" s="67"/>
      <c r="AI103" s="67"/>
      <c r="AJ103" s="67"/>
      <c r="AK103" s="67"/>
      <c r="AL103" s="67"/>
      <c r="AN103" s="67"/>
      <c r="AO103" s="67"/>
      <c r="AP103" s="190"/>
      <c r="AQ103" s="67"/>
      <c r="AR103" s="67"/>
      <c r="AS103" s="67"/>
      <c r="AU103" s="67"/>
      <c r="AV103" s="67"/>
      <c r="AW103" s="67"/>
      <c r="AX103" s="67"/>
      <c r="AY103" s="67"/>
      <c r="AZ103" s="67"/>
      <c r="BB103" s="67"/>
      <c r="BC103" s="67"/>
      <c r="BD103" s="67"/>
      <c r="BE103" s="67"/>
      <c r="BF103" s="67"/>
      <c r="BH103" s="67"/>
      <c r="BI103" s="67"/>
      <c r="BJ103" s="67"/>
      <c r="BK103" s="67"/>
      <c r="BL103" s="67"/>
      <c r="BM103" s="67"/>
      <c r="BN103" s="67"/>
      <c r="BO103" s="67"/>
      <c r="BP103" s="67"/>
      <c r="BQ103" s="67"/>
      <c r="BR103" s="67"/>
      <c r="BS103" s="67"/>
    </row>
    <row r="104" spans="3:71" x14ac:dyDescent="0.4">
      <c r="C104" s="100">
        <v>245870696.25</v>
      </c>
    </row>
    <row r="105" spans="3:71" x14ac:dyDescent="0.4">
      <c r="C105" s="100">
        <v>259948102.5</v>
      </c>
    </row>
    <row r="106" spans="3:71" x14ac:dyDescent="0.4">
      <c r="C106" s="100">
        <v>274948635</v>
      </c>
    </row>
    <row r="107" spans="3:71" x14ac:dyDescent="0.4">
      <c r="C107" s="100">
        <v>274876687.5</v>
      </c>
    </row>
    <row r="108" spans="3:71" x14ac:dyDescent="0.4">
      <c r="C108" s="100">
        <v>274869765</v>
      </c>
    </row>
    <row r="109" spans="3:71" x14ac:dyDescent="0.4">
      <c r="C109" s="100">
        <v>278948262.5</v>
      </c>
    </row>
    <row r="110" spans="3:71" x14ac:dyDescent="0.4">
      <c r="C110" s="100">
        <v>291949700</v>
      </c>
    </row>
    <row r="111" spans="3:71" x14ac:dyDescent="0.4">
      <c r="C111" s="100">
        <v>306947050</v>
      </c>
    </row>
    <row r="112" spans="3:71" x14ac:dyDescent="0.4">
      <c r="C112" s="100">
        <v>321946100</v>
      </c>
    </row>
    <row r="113" spans="3:3" x14ac:dyDescent="0.4">
      <c r="C113" s="100">
        <v>337945875</v>
      </c>
    </row>
    <row r="114" spans="3:3" x14ac:dyDescent="0.4">
      <c r="C114" s="100">
        <v>349945950</v>
      </c>
    </row>
    <row r="115" spans="3:3" x14ac:dyDescent="0.4">
      <c r="C115" s="100">
        <v>349947765</v>
      </c>
    </row>
    <row r="116" spans="3:3" x14ac:dyDescent="0.4">
      <c r="C116" s="100">
        <v>349946152.5</v>
      </c>
    </row>
    <row r="117" spans="3:3" x14ac:dyDescent="0.4">
      <c r="C117" s="100">
        <v>349946040</v>
      </c>
    </row>
    <row r="118" spans="3:3" x14ac:dyDescent="0.4">
      <c r="C118" s="100">
        <v>349946527.5</v>
      </c>
    </row>
    <row r="119" spans="3:3" x14ac:dyDescent="0.4">
      <c r="C119" s="100">
        <v>349946785</v>
      </c>
    </row>
    <row r="120" spans="3:3" x14ac:dyDescent="0.4">
      <c r="C120" s="100">
        <v>349947547.5</v>
      </c>
    </row>
    <row r="121" spans="3:3" x14ac:dyDescent="0.4">
      <c r="C121" s="100">
        <v>349948555</v>
      </c>
    </row>
    <row r="122" spans="3:3" x14ac:dyDescent="0.4">
      <c r="C122" s="100">
        <v>349949793.75</v>
      </c>
    </row>
    <row r="123" spans="3:3" x14ac:dyDescent="0.4">
      <c r="C123" s="100">
        <v>349090680</v>
      </c>
    </row>
    <row r="124" spans="3:3" x14ac:dyDescent="0.4">
      <c r="C124" s="100">
        <v>347241557.85000002</v>
      </c>
    </row>
    <row r="125" spans="3:3" x14ac:dyDescent="0.4">
      <c r="C125" s="100">
        <v>347242123.75</v>
      </c>
    </row>
    <row r="126" spans="3:3" x14ac:dyDescent="0.4">
      <c r="C126" s="100">
        <v>347240556.25</v>
      </c>
    </row>
    <row r="127" spans="3:3" x14ac:dyDescent="0.4">
      <c r="C127" s="100">
        <v>347240740</v>
      </c>
    </row>
    <row r="128" spans="3:3" x14ac:dyDescent="0.4">
      <c r="C128" s="100">
        <v>347243482.5</v>
      </c>
    </row>
    <row r="129" spans="3:3" x14ac:dyDescent="0.4">
      <c r="C129" s="100">
        <v>347240226.25</v>
      </c>
    </row>
    <row r="130" spans="3:3" x14ac:dyDescent="0.4">
      <c r="C130" s="100">
        <v>347243846.25</v>
      </c>
    </row>
    <row r="131" spans="3:3" x14ac:dyDescent="0.4">
      <c r="C131" s="100">
        <v>347243071.25</v>
      </c>
    </row>
    <row r="132" spans="3:3" x14ac:dyDescent="0.4">
      <c r="C132" s="100">
        <v>347238658.05000001</v>
      </c>
    </row>
    <row r="133" spans="3:3" x14ac:dyDescent="0.4">
      <c r="C133" s="100">
        <v>347236030.10000002</v>
      </c>
    </row>
    <row r="134" spans="3:3" x14ac:dyDescent="0.4">
      <c r="C134" s="100">
        <v>347243146.5</v>
      </c>
    </row>
    <row r="135" spans="3:3" x14ac:dyDescent="0.4">
      <c r="C135" s="100">
        <v>347240614.5</v>
      </c>
    </row>
    <row r="136" spans="3:3" x14ac:dyDescent="0.4">
      <c r="C136" s="100">
        <v>347240548.19999999</v>
      </c>
    </row>
    <row r="137" spans="3:3" x14ac:dyDescent="0.4">
      <c r="C137" s="100">
        <v>347243507.14999998</v>
      </c>
    </row>
    <row r="138" spans="3:3" x14ac:dyDescent="0.4">
      <c r="C138" s="100">
        <v>347244579.60000002</v>
      </c>
    </row>
    <row r="139" spans="3:3" x14ac:dyDescent="0.4">
      <c r="C139" s="100">
        <v>347240703.40000004</v>
      </c>
    </row>
    <row r="140" spans="3:3" x14ac:dyDescent="0.4">
      <c r="C140" s="100">
        <v>347248625</v>
      </c>
    </row>
    <row r="141" spans="3:3" x14ac:dyDescent="0.4">
      <c r="C141" s="100"/>
    </row>
  </sheetData>
  <phoneticPr fontId="0" type="noConversion"/>
  <pageMargins left="0.75" right="0.75" top="0.5" bottom="0.5" header="0.5" footer="0.5"/>
  <pageSetup scale="50" fitToWidth="10" orientation="portrait" r:id="rId1"/>
  <headerFooter alignWithMargins="0"/>
  <colBreaks count="10" manualBreakCount="10">
    <brk id="13" max="97" man="1"/>
    <brk id="22" max="97" man="1"/>
    <brk id="30" max="97" man="1"/>
    <brk id="58" max="97" man="1"/>
    <brk id="71" max="97" man="1"/>
    <brk id="84" max="97" man="1"/>
    <brk id="97" max="97" man="1"/>
    <brk id="110" max="97" man="1"/>
    <brk id="122" max="97" man="1"/>
    <brk id="136" max="9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COI</vt:lpstr>
      <vt:lpstr>C-05 2019A</vt:lpstr>
      <vt:lpstr>2019A</vt:lpstr>
      <vt:lpstr>C-31 1of3</vt:lpstr>
      <vt:lpstr>C-31 2of3</vt:lpstr>
      <vt:lpstr>C-31 3of3</vt:lpstr>
      <vt:lpstr>Total Debt</vt:lpstr>
      <vt:lpstr>Prior</vt:lpstr>
      <vt:lpstr>Series Detail</vt:lpstr>
      <vt:lpstr>Refunded Prior</vt:lpstr>
      <vt:lpstr>FY2020</vt:lpstr>
      <vt:lpstr>'2019A'!Print_Area</vt:lpstr>
      <vt:lpstr>'C-31 2of3'!Print_Area</vt:lpstr>
      <vt:lpstr>'C-31 3of3'!Print_Area</vt:lpstr>
      <vt:lpstr>Prior!Print_Area</vt:lpstr>
      <vt:lpstr>'Series Detail'!Print_Area</vt:lpstr>
      <vt:lpstr>'Total Debt'!Print_Area</vt:lpstr>
      <vt:lpstr>'2019A'!Print_Titles</vt:lpstr>
      <vt:lpstr>Prior!Print_Titles</vt:lpstr>
      <vt:lpstr>'Total Debt'!Print_Titles</vt:lpstr>
      <vt:lpstr>SeriesTotalEPB_DS</vt:lpstr>
      <vt:lpstr>TotalEPB_DS</vt:lpstr>
    </vt:vector>
  </TitlesOfParts>
  <Company>Morgan Stanley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haywageo</dc:creator>
  <cp:lastModifiedBy>Jason Bormann</cp:lastModifiedBy>
  <cp:lastPrinted>2020-02-05T22:13:49Z</cp:lastPrinted>
  <dcterms:created xsi:type="dcterms:W3CDTF">1999-09-09T17:30:14Z</dcterms:created>
  <dcterms:modified xsi:type="dcterms:W3CDTF">2020-02-05T22:14:04Z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quiresJobNumber">
    <vt:bool>true</vt:bool>
  </property>
  <property fmtid="{D5CDD505-2E9C-101B-9397-08002B2CF9AE}" pid="3" name="IsNewDesign">
    <vt:lpwstr>True</vt:lpwstr>
  </property>
  <property fmtid="{D5CDD505-2E9C-101B-9397-08002B2CF9AE}" pid="4" name="ProjectName">
    <vt:lpwstr>BU Name or Client/Project Name</vt:lpwstr>
  </property>
  <property fmtid="{D5CDD505-2E9C-101B-9397-08002B2CF9AE}" pid="5" name="PresentationScheme">
    <vt:lpwstr>Printed</vt:lpwstr>
  </property>
  <property fmtid="{D5CDD505-2E9C-101B-9397-08002B2CF9AE}" pid="6" name="IsBluebook">
    <vt:bool>true</vt:bool>
  </property>
  <property fmtid="{D5CDD505-2E9C-101B-9397-08002B2CF9AE}" pid="7" name="Style">
    <vt:lpwstr>IBD</vt:lpwstr>
  </property>
  <property fmtid="{D5CDD505-2E9C-101B-9397-08002B2CF9AE}" pid="8" name="FixChartColors">
    <vt:lpwstr>No</vt:lpwstr>
  </property>
  <property fmtid="{D5CDD505-2E9C-101B-9397-08002B2CF9AE}" pid="9" name="Job">
    <vt:lpwstr>76J7032</vt:lpwstr>
  </property>
  <property fmtid="{D5CDD505-2E9C-101B-9397-08002B2CF9AE}" pid="10" name="Industry Group">
    <vt:lpwstr> </vt:lpwstr>
  </property>
  <property fmtid="{D5CDD505-2E9C-101B-9397-08002B2CF9AE}" pid="11" name="Coverage Group">
    <vt:lpwstr> </vt:lpwstr>
  </property>
  <property fmtid="{D5CDD505-2E9C-101B-9397-08002B2CF9AE}" pid="12" name="Poduct Group">
    <vt:lpwstr> </vt:lpwstr>
  </property>
  <property fmtid="{D5CDD505-2E9C-101B-9397-08002B2CF9AE}" pid="13" name="Client Name">
    <vt:lpwstr> </vt:lpwstr>
  </property>
  <property fmtid="{D5CDD505-2E9C-101B-9397-08002B2CF9AE}" pid="14" name="OutputDevice">
    <vt:lpwstr>Canon Colorpass 1000</vt:lpwstr>
  </property>
  <property fmtid="{D5CDD505-2E9C-101B-9397-08002B2CF9AE}" pid="15" name="Language">
    <vt:lpwstr>English (United States)</vt:lpwstr>
  </property>
  <property fmtid="{D5CDD505-2E9C-101B-9397-08002B2CF9AE}" pid="16" name="AuthorVersion">
    <vt:lpwstr>2.8</vt:lpwstr>
  </property>
  <property fmtid="{D5CDD505-2E9C-101B-9397-08002B2CF9AE}" pid="17" name="ProjectDate">
    <vt:filetime>2012-05-21T13:23:57Z</vt:filetime>
  </property>
  <property fmtid="{D5CDD505-2E9C-101B-9397-08002B2CF9AE}" pid="18" name="_NewReviewCycle">
    <vt:lpwstr/>
  </property>
</Properties>
</file>