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nds\State New Debt Filing\Project Rev 2023AB\"/>
    </mc:Choice>
  </mc:AlternateContent>
  <xr:revisionPtr revIDLastSave="0" documentId="14_{3B7A8FE6-06A9-4121-86A1-61EC57841008}" xr6:coauthVersionLast="47" xr6:coauthVersionMax="47" xr10:uidLastSave="{00000000-0000-0000-0000-000000000000}"/>
  <bookViews>
    <workbookView xWindow="28680" yWindow="-5670" windowWidth="38640" windowHeight="21240" firstSheet="2" activeTab="6" xr2:uid="{00000000-000D-0000-FFFF-FFFF00000000}"/>
  </bookViews>
  <sheets>
    <sheet name="COI" sheetId="8" state="hidden" r:id="rId1"/>
    <sheet name="C-05 2019A" sheetId="7" state="hidden" r:id="rId2"/>
    <sheet name="FinalEstimate" sheetId="11" r:id="rId3"/>
    <sheet name="2023AB" sheetId="9" r:id="rId4"/>
    <sheet name="2019A" sheetId="5" r:id="rId5"/>
    <sheet name="Total Debt" sheetId="3" r:id="rId6"/>
    <sheet name="Series Detail" sheetId="1" r:id="rId7"/>
    <sheet name="FY24" sheetId="10" r:id="rId8"/>
  </sheets>
  <externalReferences>
    <externalReference r:id="rId9"/>
    <externalReference r:id="rId10"/>
  </externalReferences>
  <definedNames>
    <definedName name="COI">[1]Ser2021A!$A:$B</definedName>
    <definedName name="_xlnm.Print_Area" localSheetId="4">'2019A'!$A$1:$M$50</definedName>
    <definedName name="_xlnm.Print_Area" localSheetId="3">'2023AB'!$A$1:$M$56</definedName>
    <definedName name="_xlnm.Print_Area" localSheetId="0">COI!$A$1:$K$26</definedName>
    <definedName name="_xlnm.Print_Area" localSheetId="7">'FY24'!$A$1:$H$41</definedName>
    <definedName name="_xlnm.Print_Area" localSheetId="6">'Series Detail'!$F$1:$BC$58</definedName>
    <definedName name="_xlnm.Print_Area" localSheetId="5">'Total Debt'!$A$1:$M$52</definedName>
    <definedName name="_xlnm.Print_Titles" localSheetId="4">'2019A'!$2:$9</definedName>
    <definedName name="_xlnm.Print_Titles" localSheetId="3">'2023AB'!$2:$9</definedName>
    <definedName name="_xlnm.Print_Titles" localSheetId="6">'Series Detail'!$1:$2</definedName>
    <definedName name="_xlnm.Print_Titles" localSheetId="5">'Total Debt'!$1:$8</definedName>
    <definedName name="ProjectName" localSheetId="7">{"Client Name or Project Name"}</definedName>
    <definedName name="ProjectName" localSheetId="5">{"Client Name or Project Name"}</definedName>
    <definedName name="ProjectName">{"Client Name or Project Name"}</definedName>
    <definedName name="SeriesTotalEPB_DS">'[2]Series Detail'!$H:$M</definedName>
    <definedName name="TotalEPB_DS">'[2]Total Debt'!$A:$M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1" l="1"/>
  <c r="C27" i="11" s="1"/>
  <c r="B5" i="11"/>
  <c r="D5" i="11" s="1"/>
  <c r="D6" i="11" s="1"/>
  <c r="C6" i="11"/>
  <c r="B10" i="11"/>
  <c r="D10" i="11"/>
  <c r="J10" i="11" s="1"/>
  <c r="H10" i="11"/>
  <c r="H13" i="11" s="1"/>
  <c r="C11" i="11"/>
  <c r="D11" i="11" s="1"/>
  <c r="H11" i="11"/>
  <c r="B13" i="11"/>
  <c r="C13" i="11"/>
  <c r="H15" i="11"/>
  <c r="H22" i="11" s="1"/>
  <c r="B16" i="11"/>
  <c r="D16" i="11"/>
  <c r="H16" i="11"/>
  <c r="B17" i="11"/>
  <c r="D17" i="11" s="1"/>
  <c r="H17" i="11"/>
  <c r="B18" i="11"/>
  <c r="D18" i="11"/>
  <c r="H18" i="11"/>
  <c r="H19" i="11"/>
  <c r="D20" i="11"/>
  <c r="H20" i="11"/>
  <c r="D21" i="11"/>
  <c r="H21" i="11"/>
  <c r="J22" i="11"/>
  <c r="B27" i="11"/>
  <c r="J27" i="11"/>
  <c r="B28" i="11"/>
  <c r="C28" i="11"/>
  <c r="H28" i="11"/>
  <c r="J28" i="11"/>
  <c r="B29" i="11"/>
  <c r="C29" i="11"/>
  <c r="D29" i="11"/>
  <c r="H29" i="11"/>
  <c r="J29" i="11"/>
  <c r="B30" i="11"/>
  <c r="H30" i="11"/>
  <c r="J30" i="11"/>
  <c r="B31" i="11"/>
  <c r="D31" i="11" s="1"/>
  <c r="C31" i="11"/>
  <c r="D13" i="11" l="1"/>
  <c r="J11" i="11"/>
  <c r="J13" i="11"/>
  <c r="J24" i="11" s="1"/>
  <c r="J33" i="11" s="1"/>
  <c r="K13" i="11"/>
  <c r="H24" i="11"/>
  <c r="D22" i="11"/>
  <c r="B15" i="11"/>
  <c r="B6" i="11"/>
  <c r="B19" i="11" s="1"/>
  <c r="D19" i="11" s="1"/>
  <c r="I58" i="1"/>
  <c r="K58" i="1"/>
  <c r="H51" i="1"/>
  <c r="H53" i="1" s="1"/>
  <c r="I51" i="1"/>
  <c r="K51" i="1"/>
  <c r="L51" i="1"/>
  <c r="I53" i="1"/>
  <c r="K53" i="1"/>
  <c r="L53" i="1"/>
  <c r="H15" i="1"/>
  <c r="H17" i="1" s="1"/>
  <c r="H19" i="1" s="1"/>
  <c r="H21" i="1" s="1"/>
  <c r="H23" i="1" s="1"/>
  <c r="H25" i="1" s="1"/>
  <c r="H27" i="1" s="1"/>
  <c r="H29" i="1" s="1"/>
  <c r="H31" i="1" s="1"/>
  <c r="H33" i="1" s="1"/>
  <c r="H35" i="1" s="1"/>
  <c r="H37" i="1" s="1"/>
  <c r="H39" i="1" s="1"/>
  <c r="H41" i="1" s="1"/>
  <c r="H43" i="1" s="1"/>
  <c r="H45" i="1" s="1"/>
  <c r="H47" i="1" s="1"/>
  <c r="H49" i="1" s="1"/>
  <c r="A12" i="3"/>
  <c r="A14" i="3" s="1"/>
  <c r="A16" i="3" s="1"/>
  <c r="A18" i="3" s="1"/>
  <c r="A20" i="3" s="1"/>
  <c r="A22" i="3" s="1"/>
  <c r="A24" i="3" s="1"/>
  <c r="A26" i="3" s="1"/>
  <c r="A28" i="3" s="1"/>
  <c r="A30" i="3" s="1"/>
  <c r="A32" i="3" s="1"/>
  <c r="A34" i="3" s="1"/>
  <c r="A36" i="3" s="1"/>
  <c r="A38" i="3" s="1"/>
  <c r="A40" i="3" s="1"/>
  <c r="A42" i="3" s="1"/>
  <c r="A44" i="3" s="1"/>
  <c r="A46" i="3" s="1"/>
  <c r="A48" i="3" s="1"/>
  <c r="A50" i="3" s="1"/>
  <c r="C15" i="11" l="1"/>
  <c r="C22" i="11" s="1"/>
  <c r="B22" i="11"/>
  <c r="B24" i="11" s="1"/>
  <c r="K24" i="11"/>
  <c r="H33" i="11"/>
  <c r="B41" i="10"/>
  <c r="K33" i="11" l="1"/>
  <c r="B33" i="11"/>
  <c r="D24" i="11"/>
  <c r="D33" i="11" s="1"/>
  <c r="C24" i="11"/>
  <c r="V12" i="1"/>
  <c r="T12" i="1"/>
  <c r="U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S12" i="1"/>
  <c r="R12" i="1"/>
  <c r="Q13" i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C33" i="11" l="1"/>
  <c r="R58" i="1"/>
  <c r="X48" i="1"/>
  <c r="X49" i="1" s="1"/>
  <c r="X50" i="1" s="1"/>
  <c r="X51" i="1" s="1"/>
  <c r="X52" i="1" s="1"/>
  <c r="X53" i="1" s="1"/>
  <c r="AY13" i="1"/>
  <c r="E21" i="10" s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AY53" i="1"/>
  <c r="AY52" i="1" s="1"/>
  <c r="BA53" i="1"/>
  <c r="C29" i="10"/>
  <c r="D29" i="10"/>
  <c r="E29" i="10"/>
  <c r="F29" i="10"/>
  <c r="G29" i="10"/>
  <c r="C30" i="10"/>
  <c r="D30" i="10"/>
  <c r="E30" i="10"/>
  <c r="F30" i="10"/>
  <c r="G30" i="10"/>
  <c r="B30" i="10"/>
  <c r="B38" i="10" s="1"/>
  <c r="B29" i="10"/>
  <c r="B37" i="10" s="1"/>
  <c r="C20" i="10"/>
  <c r="D20" i="10"/>
  <c r="E20" i="10"/>
  <c r="F20" i="10"/>
  <c r="G20" i="10"/>
  <c r="C21" i="10"/>
  <c r="D21" i="10"/>
  <c r="F21" i="10"/>
  <c r="B21" i="10"/>
  <c r="B20" i="10"/>
  <c r="C12" i="10"/>
  <c r="D12" i="10"/>
  <c r="F12" i="10"/>
  <c r="F38" i="10" s="1"/>
  <c r="F11" i="10"/>
  <c r="F37" i="10" s="1"/>
  <c r="G11" i="10"/>
  <c r="G37" i="10" s="1"/>
  <c r="D11" i="10"/>
  <c r="C11" i="10"/>
  <c r="C37" i="10" s="1"/>
  <c r="E11" i="10"/>
  <c r="E37" i="10" s="1"/>
  <c r="B12" i="10"/>
  <c r="B11" i="10"/>
  <c r="F39" i="10" l="1"/>
  <c r="C38" i="10"/>
  <c r="C39" i="10" s="1"/>
  <c r="H11" i="10"/>
  <c r="BA13" i="1"/>
  <c r="G21" i="10" s="1"/>
  <c r="H21" i="10" s="1"/>
  <c r="BB53" i="1"/>
  <c r="BB52" i="1"/>
  <c r="AY51" i="1"/>
  <c r="H20" i="10"/>
  <c r="H29" i="10"/>
  <c r="H30" i="10"/>
  <c r="E4" i="3"/>
  <c r="E5" i="5"/>
  <c r="AS49" i="1"/>
  <c r="AS41" i="1"/>
  <c r="AS33" i="1"/>
  <c r="AS25" i="1"/>
  <c r="AS17" i="1"/>
  <c r="AS53" i="1"/>
  <c r="AS52" i="1"/>
  <c r="AS51" i="1"/>
  <c r="AS50" i="1"/>
  <c r="AS48" i="1"/>
  <c r="AS47" i="1"/>
  <c r="AS46" i="1"/>
  <c r="AS45" i="1"/>
  <c r="AS44" i="1"/>
  <c r="AS43" i="1"/>
  <c r="AS42" i="1"/>
  <c r="AS40" i="1"/>
  <c r="AS39" i="1"/>
  <c r="AS38" i="1"/>
  <c r="AS37" i="1"/>
  <c r="AS36" i="1"/>
  <c r="AS35" i="1"/>
  <c r="AS34" i="1"/>
  <c r="AS32" i="1"/>
  <c r="AS31" i="1"/>
  <c r="AS30" i="1"/>
  <c r="AS29" i="1"/>
  <c r="AS28" i="1"/>
  <c r="AS27" i="1"/>
  <c r="AS26" i="1"/>
  <c r="AS24" i="1"/>
  <c r="AS23" i="1"/>
  <c r="AS22" i="1"/>
  <c r="AS21" i="1"/>
  <c r="AS20" i="1"/>
  <c r="AS19" i="1"/>
  <c r="AS18" i="1"/>
  <c r="AS16" i="1"/>
  <c r="H37" i="10" l="1"/>
  <c r="BB13" i="1"/>
  <c r="BB51" i="1"/>
  <c r="AY50" i="1"/>
  <c r="AK53" i="1"/>
  <c r="U53" i="1" s="1"/>
  <c r="AK52" i="1"/>
  <c r="U52" i="1" s="1"/>
  <c r="AK51" i="1"/>
  <c r="U51" i="1" s="1"/>
  <c r="AK50" i="1"/>
  <c r="U50" i="1" s="1"/>
  <c r="AK49" i="1"/>
  <c r="U49" i="1" s="1"/>
  <c r="AK48" i="1"/>
  <c r="U48" i="1" s="1"/>
  <c r="AK47" i="1"/>
  <c r="U47" i="1" s="1"/>
  <c r="AK46" i="1"/>
  <c r="U46" i="1" s="1"/>
  <c r="AK45" i="1"/>
  <c r="U45" i="1" s="1"/>
  <c r="AK44" i="1"/>
  <c r="U44" i="1" s="1"/>
  <c r="AK43" i="1"/>
  <c r="U43" i="1" s="1"/>
  <c r="AK42" i="1"/>
  <c r="U42" i="1" s="1"/>
  <c r="AK41" i="1"/>
  <c r="U41" i="1" s="1"/>
  <c r="AK40" i="1"/>
  <c r="U40" i="1" s="1"/>
  <c r="AK39" i="1"/>
  <c r="U39" i="1" s="1"/>
  <c r="AK38" i="1"/>
  <c r="U38" i="1" s="1"/>
  <c r="AK37" i="1"/>
  <c r="U37" i="1" s="1"/>
  <c r="AK36" i="1"/>
  <c r="U36" i="1" s="1"/>
  <c r="AK35" i="1"/>
  <c r="U35" i="1" s="1"/>
  <c r="AK34" i="1"/>
  <c r="U34" i="1" s="1"/>
  <c r="AK33" i="1"/>
  <c r="U33" i="1" s="1"/>
  <c r="AK32" i="1"/>
  <c r="U32" i="1" s="1"/>
  <c r="AK31" i="1"/>
  <c r="U31" i="1" s="1"/>
  <c r="AK30" i="1"/>
  <c r="U30" i="1" s="1"/>
  <c r="AK29" i="1"/>
  <c r="U29" i="1" s="1"/>
  <c r="AK28" i="1"/>
  <c r="U28" i="1" s="1"/>
  <c r="AK27" i="1"/>
  <c r="U27" i="1" s="1"/>
  <c r="AK26" i="1"/>
  <c r="U26" i="1" s="1"/>
  <c r="AK25" i="1"/>
  <c r="U25" i="1" s="1"/>
  <c r="AK24" i="1"/>
  <c r="U24" i="1" s="1"/>
  <c r="AK23" i="1"/>
  <c r="U23" i="1" s="1"/>
  <c r="AK22" i="1"/>
  <c r="U22" i="1" s="1"/>
  <c r="AK21" i="1"/>
  <c r="U21" i="1" s="1"/>
  <c r="AK20" i="1"/>
  <c r="U20" i="1" s="1"/>
  <c r="AK19" i="1"/>
  <c r="U19" i="1" s="1"/>
  <c r="AK18" i="1"/>
  <c r="U18" i="1" s="1"/>
  <c r="AK17" i="1"/>
  <c r="U17" i="1" s="1"/>
  <c r="AK16" i="1"/>
  <c r="U16" i="1" s="1"/>
  <c r="AK15" i="1"/>
  <c r="U15" i="1" s="1"/>
  <c r="AJ53" i="1"/>
  <c r="T53" i="1" s="1"/>
  <c r="AJ52" i="1"/>
  <c r="AJ51" i="1"/>
  <c r="T51" i="1" s="1"/>
  <c r="AJ50" i="1"/>
  <c r="T50" i="1" s="1"/>
  <c r="AJ49" i="1"/>
  <c r="T49" i="1" s="1"/>
  <c r="AJ48" i="1"/>
  <c r="T48" i="1" s="1"/>
  <c r="AJ47" i="1"/>
  <c r="T47" i="1" s="1"/>
  <c r="AJ46" i="1"/>
  <c r="T46" i="1" s="1"/>
  <c r="AJ45" i="1"/>
  <c r="T45" i="1" s="1"/>
  <c r="AJ44" i="1"/>
  <c r="AJ43" i="1"/>
  <c r="T43" i="1" s="1"/>
  <c r="AJ42" i="1"/>
  <c r="T42" i="1" s="1"/>
  <c r="AJ41" i="1"/>
  <c r="T41" i="1" s="1"/>
  <c r="AJ40" i="1"/>
  <c r="T40" i="1" s="1"/>
  <c r="AJ39" i="1"/>
  <c r="T39" i="1" s="1"/>
  <c r="AJ38" i="1"/>
  <c r="T38" i="1" s="1"/>
  <c r="AJ37" i="1"/>
  <c r="T37" i="1" s="1"/>
  <c r="AJ36" i="1"/>
  <c r="AJ35" i="1"/>
  <c r="T35" i="1" s="1"/>
  <c r="AJ34" i="1"/>
  <c r="T34" i="1" s="1"/>
  <c r="AJ33" i="1"/>
  <c r="T33" i="1" s="1"/>
  <c r="AJ32" i="1"/>
  <c r="T32" i="1" s="1"/>
  <c r="AJ31" i="1"/>
  <c r="T31" i="1" s="1"/>
  <c r="AJ30" i="1"/>
  <c r="T30" i="1" s="1"/>
  <c r="AJ29" i="1"/>
  <c r="T29" i="1" s="1"/>
  <c r="AJ28" i="1"/>
  <c r="AJ27" i="1"/>
  <c r="T27" i="1" s="1"/>
  <c r="AJ26" i="1"/>
  <c r="T26" i="1" s="1"/>
  <c r="AJ25" i="1"/>
  <c r="T25" i="1" s="1"/>
  <c r="AJ24" i="1"/>
  <c r="T24" i="1" s="1"/>
  <c r="AJ23" i="1"/>
  <c r="T23" i="1" s="1"/>
  <c r="AJ22" i="1"/>
  <c r="T22" i="1" s="1"/>
  <c r="AJ21" i="1"/>
  <c r="T21" i="1" s="1"/>
  <c r="AJ20" i="1"/>
  <c r="AJ19" i="1"/>
  <c r="T19" i="1" s="1"/>
  <c r="AJ18" i="1"/>
  <c r="T18" i="1" s="1"/>
  <c r="AJ17" i="1"/>
  <c r="T17" i="1" s="1"/>
  <c r="AJ16" i="1"/>
  <c r="T16" i="1" s="1"/>
  <c r="AJ15" i="1"/>
  <c r="T15" i="1" s="1"/>
  <c r="AJ14" i="1"/>
  <c r="T14" i="1" s="1"/>
  <c r="AJ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13" i="1"/>
  <c r="I13" i="1" s="1"/>
  <c r="AR58" i="1"/>
  <c r="AI10" i="9"/>
  <c r="AW58" i="1"/>
  <c r="AO58" i="1"/>
  <c r="AQ13" i="1" s="1"/>
  <c r="E12" i="10" s="1"/>
  <c r="E38" i="10" s="1"/>
  <c r="E39" i="10" s="1"/>
  <c r="AC58" i="1"/>
  <c r="AB58" i="1"/>
  <c r="AA58" i="1"/>
  <c r="Y58" i="1"/>
  <c r="AG55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10" i="9"/>
  <c r="AC11" i="9"/>
  <c r="AC12" i="9" s="1"/>
  <c r="AC13" i="9" s="1"/>
  <c r="AC14" i="9" s="1"/>
  <c r="AC15" i="9" s="1"/>
  <c r="AC16" i="9" s="1"/>
  <c r="AC17" i="9" s="1"/>
  <c r="AC18" i="9" s="1"/>
  <c r="AC19" i="9" s="1"/>
  <c r="AC20" i="9" s="1"/>
  <c r="AC21" i="9" s="1"/>
  <c r="AC22" i="9" s="1"/>
  <c r="AC23" i="9" s="1"/>
  <c r="AC24" i="9" s="1"/>
  <c r="AC25" i="9" s="1"/>
  <c r="AC26" i="9" s="1"/>
  <c r="AC27" i="9" s="1"/>
  <c r="AC28" i="9" s="1"/>
  <c r="AC29" i="9" s="1"/>
  <c r="AC30" i="9" s="1"/>
  <c r="AC31" i="9" s="1"/>
  <c r="AC32" i="9" s="1"/>
  <c r="AC33" i="9" s="1"/>
  <c r="AC34" i="9" s="1"/>
  <c r="AC35" i="9" s="1"/>
  <c r="AC36" i="9" s="1"/>
  <c r="AC37" i="9" s="1"/>
  <c r="AC38" i="9" s="1"/>
  <c r="AC39" i="9" s="1"/>
  <c r="AC40" i="9" s="1"/>
  <c r="AC41" i="9" s="1"/>
  <c r="AC42" i="9" s="1"/>
  <c r="AC43" i="9" s="1"/>
  <c r="AC44" i="9" s="1"/>
  <c r="AC45" i="9" s="1"/>
  <c r="AC46" i="9" s="1"/>
  <c r="AC47" i="9" s="1"/>
  <c r="AC48" i="9" s="1"/>
  <c r="AC49" i="9" s="1"/>
  <c r="AC50" i="9" s="1"/>
  <c r="S55" i="9"/>
  <c r="U10" i="9" s="1"/>
  <c r="U50" i="9"/>
  <c r="U49" i="9" s="1"/>
  <c r="U48" i="9" s="1"/>
  <c r="U47" i="9" s="1"/>
  <c r="U46" i="9" s="1"/>
  <c r="U45" i="9" s="1"/>
  <c r="U44" i="9" s="1"/>
  <c r="U43" i="9" s="1"/>
  <c r="U42" i="9" s="1"/>
  <c r="U41" i="9" s="1"/>
  <c r="U40" i="9" s="1"/>
  <c r="U39" i="9" s="1"/>
  <c r="U38" i="9" s="1"/>
  <c r="U37" i="9" s="1"/>
  <c r="U36" i="9" s="1"/>
  <c r="U35" i="9" s="1"/>
  <c r="U34" i="9" s="1"/>
  <c r="U33" i="9" s="1"/>
  <c r="U32" i="9" s="1"/>
  <c r="U31" i="9" s="1"/>
  <c r="U30" i="9" s="1"/>
  <c r="U29" i="9" s="1"/>
  <c r="U28" i="9" s="1"/>
  <c r="U27" i="9" s="1"/>
  <c r="U26" i="9" s="1"/>
  <c r="U25" i="9" s="1"/>
  <c r="U24" i="9" s="1"/>
  <c r="U23" i="9" s="1"/>
  <c r="U22" i="9" s="1"/>
  <c r="U21" i="9" s="1"/>
  <c r="U20" i="9" s="1"/>
  <c r="U19" i="9" s="1"/>
  <c r="U18" i="9" s="1"/>
  <c r="U17" i="9" s="1"/>
  <c r="U16" i="9" s="1"/>
  <c r="U15" i="9" s="1"/>
  <c r="U14" i="9" s="1"/>
  <c r="U13" i="9" s="1"/>
  <c r="U12" i="9" s="1"/>
  <c r="U11" i="9" s="1"/>
  <c r="Y11" i="9" s="1"/>
  <c r="AK55" i="9"/>
  <c r="W55" i="9"/>
  <c r="O11" i="9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O50" i="9" s="1"/>
  <c r="Y10" i="9" l="1"/>
  <c r="AA10" i="9" s="1"/>
  <c r="G10" i="9"/>
  <c r="K37" i="1"/>
  <c r="G34" i="3" s="1"/>
  <c r="T36" i="1"/>
  <c r="K21" i="1"/>
  <c r="G18" i="3" s="1"/>
  <c r="T20" i="1"/>
  <c r="K45" i="1"/>
  <c r="G42" i="3" s="1"/>
  <c r="T44" i="1"/>
  <c r="G50" i="3"/>
  <c r="T52" i="1"/>
  <c r="K29" i="1"/>
  <c r="G26" i="3" s="1"/>
  <c r="T28" i="1"/>
  <c r="K13" i="1"/>
  <c r="AJ58" i="1"/>
  <c r="T13" i="1"/>
  <c r="I45" i="1"/>
  <c r="C42" i="3" s="1"/>
  <c r="I47" i="1"/>
  <c r="C44" i="3" s="1"/>
  <c r="I23" i="1"/>
  <c r="C20" i="3" s="1"/>
  <c r="I37" i="1"/>
  <c r="C34" i="3" s="1"/>
  <c r="I31" i="1"/>
  <c r="C28" i="3" s="1"/>
  <c r="I15" i="1"/>
  <c r="C12" i="3" s="1"/>
  <c r="I29" i="1"/>
  <c r="C26" i="3" s="1"/>
  <c r="I39" i="1"/>
  <c r="C36" i="3" s="1"/>
  <c r="C50" i="3"/>
  <c r="I21" i="1"/>
  <c r="C18" i="3" s="1"/>
  <c r="C48" i="3"/>
  <c r="C52" i="3" s="1"/>
  <c r="I43" i="1"/>
  <c r="C40" i="3" s="1"/>
  <c r="I35" i="1"/>
  <c r="C32" i="3" s="1"/>
  <c r="I27" i="1"/>
  <c r="C24" i="3" s="1"/>
  <c r="I19" i="1"/>
  <c r="C16" i="3" s="1"/>
  <c r="K17" i="1"/>
  <c r="G14" i="3" s="1"/>
  <c r="K25" i="1"/>
  <c r="G22" i="3" s="1"/>
  <c r="K33" i="1"/>
  <c r="G30" i="3" s="1"/>
  <c r="K41" i="1"/>
  <c r="G38" i="3" s="1"/>
  <c r="K49" i="1"/>
  <c r="G46" i="3" s="1"/>
  <c r="I49" i="1"/>
  <c r="C46" i="3" s="1"/>
  <c r="I41" i="1"/>
  <c r="C38" i="3" s="1"/>
  <c r="I33" i="1"/>
  <c r="C30" i="3" s="1"/>
  <c r="I25" i="1"/>
  <c r="C22" i="3" s="1"/>
  <c r="I17" i="1"/>
  <c r="C14" i="3" s="1"/>
  <c r="L23" i="1"/>
  <c r="I20" i="3" s="1"/>
  <c r="L31" i="1"/>
  <c r="I28" i="3" s="1"/>
  <c r="L39" i="1"/>
  <c r="I36" i="3" s="1"/>
  <c r="L47" i="1"/>
  <c r="I44" i="3" s="1"/>
  <c r="BB50" i="1"/>
  <c r="AY49" i="1"/>
  <c r="K15" i="1"/>
  <c r="G12" i="3" s="1"/>
  <c r="K23" i="1"/>
  <c r="G20" i="3" s="1"/>
  <c r="K31" i="1"/>
  <c r="G28" i="3" s="1"/>
  <c r="K39" i="1"/>
  <c r="G36" i="3" s="1"/>
  <c r="K47" i="1"/>
  <c r="G44" i="3" s="1"/>
  <c r="K19" i="1"/>
  <c r="G16" i="3" s="1"/>
  <c r="K27" i="1"/>
  <c r="G24" i="3" s="1"/>
  <c r="K35" i="1"/>
  <c r="G32" i="3" s="1"/>
  <c r="K43" i="1"/>
  <c r="G40" i="3" s="1"/>
  <c r="G48" i="3"/>
  <c r="G52" i="3" s="1"/>
  <c r="L29" i="1"/>
  <c r="I26" i="3" s="1"/>
  <c r="L37" i="1"/>
  <c r="I34" i="3" s="1"/>
  <c r="AS13" i="1"/>
  <c r="G12" i="10" s="1"/>
  <c r="L19" i="1"/>
  <c r="I16" i="3" s="1"/>
  <c r="L27" i="1"/>
  <c r="I24" i="3" s="1"/>
  <c r="L35" i="1"/>
  <c r="I32" i="3" s="1"/>
  <c r="L43" i="1"/>
  <c r="I40" i="3" s="1"/>
  <c r="I48" i="3"/>
  <c r="L21" i="1"/>
  <c r="I18" i="3" s="1"/>
  <c r="L45" i="1"/>
  <c r="I42" i="3" s="1"/>
  <c r="I50" i="3"/>
  <c r="AI13" i="1"/>
  <c r="L17" i="1"/>
  <c r="I14" i="3" s="1"/>
  <c r="L25" i="1"/>
  <c r="I22" i="3" s="1"/>
  <c r="L33" i="1"/>
  <c r="I30" i="3" s="1"/>
  <c r="L41" i="1"/>
  <c r="I38" i="3" s="1"/>
  <c r="L49" i="1"/>
  <c r="I46" i="3" s="1"/>
  <c r="AM10" i="9"/>
  <c r="K10" i="9" s="1"/>
  <c r="AG58" i="1"/>
  <c r="E55" i="9"/>
  <c r="I55" i="9"/>
  <c r="Y55" i="9"/>
  <c r="G45" i="5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B10" i="8"/>
  <c r="J10" i="8" s="1"/>
  <c r="A26" i="8"/>
  <c r="H17" i="8"/>
  <c r="J16" i="8"/>
  <c r="H16" i="8"/>
  <c r="H10" i="8"/>
  <c r="J13" i="1" l="1"/>
  <c r="S13" i="1"/>
  <c r="H12" i="10"/>
  <c r="H38" i="10" s="1"/>
  <c r="H39" i="10" s="1"/>
  <c r="G38" i="10"/>
  <c r="G39" i="10" s="1"/>
  <c r="T58" i="1"/>
  <c r="AY48" i="1"/>
  <c r="BB49" i="1"/>
  <c r="AK13" i="1"/>
  <c r="AT13" i="1"/>
  <c r="AD58" i="1"/>
  <c r="B13" i="8"/>
  <c r="B20" i="8" s="1"/>
  <c r="J15" i="8"/>
  <c r="L13" i="1" l="1"/>
  <c r="U13" i="1"/>
  <c r="AY47" i="1"/>
  <c r="BB48" i="1"/>
  <c r="AL13" i="1"/>
  <c r="M13" i="1"/>
  <c r="AQ53" i="1"/>
  <c r="AT53" i="1" s="1"/>
  <c r="AI50" i="9"/>
  <c r="AA48" i="9"/>
  <c r="AA49" i="9"/>
  <c r="J13" i="8"/>
  <c r="J20" i="8"/>
  <c r="K23" i="8" s="1"/>
  <c r="V13" i="1" l="1"/>
  <c r="AY46" i="1"/>
  <c r="BB47" i="1"/>
  <c r="AQ52" i="1"/>
  <c r="AT52" i="1" s="1"/>
  <c r="AI53" i="1"/>
  <c r="AO50" i="9"/>
  <c r="AI49" i="9"/>
  <c r="G50" i="9"/>
  <c r="AA45" i="9"/>
  <c r="K22" i="8"/>
  <c r="AL53" i="1" l="1"/>
  <c r="S53" i="1"/>
  <c r="V53" i="1" s="1"/>
  <c r="BB46" i="1"/>
  <c r="AY45" i="1"/>
  <c r="AQ51" i="1"/>
  <c r="AT51" i="1" s="1"/>
  <c r="AI52" i="1"/>
  <c r="AO49" i="9"/>
  <c r="M49" i="9" s="1"/>
  <c r="AI48" i="9"/>
  <c r="G49" i="9"/>
  <c r="AA44" i="9"/>
  <c r="H13" i="8"/>
  <c r="G10" i="3"/>
  <c r="E10" i="3"/>
  <c r="C10" i="3"/>
  <c r="I49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H33" i="7"/>
  <c r="J53" i="1" l="1"/>
  <c r="S52" i="1"/>
  <c r="V52" i="1" s="1"/>
  <c r="BB45" i="1"/>
  <c r="AY44" i="1"/>
  <c r="M53" i="1"/>
  <c r="E50" i="3"/>
  <c r="K50" i="3" s="1"/>
  <c r="M50" i="3" s="1"/>
  <c r="AL52" i="1"/>
  <c r="AQ50" i="1"/>
  <c r="AT50" i="1" s="1"/>
  <c r="AI51" i="1"/>
  <c r="G48" i="9"/>
  <c r="AO48" i="9"/>
  <c r="M48" i="9" s="1"/>
  <c r="AI47" i="9"/>
  <c r="AA43" i="9"/>
  <c r="H20" i="8"/>
  <c r="K20" i="8" s="1"/>
  <c r="K13" i="8"/>
  <c r="E49" i="5"/>
  <c r="AL51" i="1" l="1"/>
  <c r="S51" i="1"/>
  <c r="V51" i="1" s="1"/>
  <c r="BB44" i="1"/>
  <c r="AY43" i="1"/>
  <c r="AQ49" i="1"/>
  <c r="AT49" i="1" s="1"/>
  <c r="AI50" i="1"/>
  <c r="AI46" i="9"/>
  <c r="G47" i="9"/>
  <c r="AO47" i="9"/>
  <c r="AA42" i="9"/>
  <c r="M45" i="5"/>
  <c r="G44" i="5"/>
  <c r="J51" i="1" l="1"/>
  <c r="S50" i="1"/>
  <c r="V50" i="1" s="1"/>
  <c r="BB43" i="1"/>
  <c r="AY42" i="1"/>
  <c r="M51" i="1"/>
  <c r="E48" i="3"/>
  <c r="AL50" i="1"/>
  <c r="AQ48" i="1"/>
  <c r="AT48" i="1" s="1"/>
  <c r="AI49" i="1"/>
  <c r="G46" i="9"/>
  <c r="AO46" i="9"/>
  <c r="AI45" i="9"/>
  <c r="AA41" i="9"/>
  <c r="G43" i="5"/>
  <c r="M44" i="5"/>
  <c r="AL49" i="1" l="1"/>
  <c r="S49" i="1"/>
  <c r="V49" i="1" s="1"/>
  <c r="K48" i="3"/>
  <c r="M48" i="3" s="1"/>
  <c r="BB42" i="1"/>
  <c r="AY41" i="1"/>
  <c r="AQ47" i="1"/>
  <c r="AT47" i="1" s="1"/>
  <c r="AI48" i="1"/>
  <c r="AO45" i="9"/>
  <c r="M45" i="9" s="1"/>
  <c r="AI44" i="9"/>
  <c r="G45" i="9"/>
  <c r="AA40" i="9"/>
  <c r="M43" i="5"/>
  <c r="G42" i="5"/>
  <c r="J49" i="1" l="1"/>
  <c r="S48" i="1"/>
  <c r="V48" i="1" s="1"/>
  <c r="AY40" i="1"/>
  <c r="BB41" i="1"/>
  <c r="M49" i="1"/>
  <c r="E46" i="3"/>
  <c r="K46" i="3" s="1"/>
  <c r="M46" i="3" s="1"/>
  <c r="AL48" i="1"/>
  <c r="AQ46" i="1"/>
  <c r="AT46" i="1" s="1"/>
  <c r="AI47" i="1"/>
  <c r="G44" i="9"/>
  <c r="AI43" i="9"/>
  <c r="AO44" i="9"/>
  <c r="M44" i="9" s="1"/>
  <c r="AA39" i="9"/>
  <c r="G41" i="5"/>
  <c r="M42" i="5"/>
  <c r="AL47" i="1" l="1"/>
  <c r="S47" i="1"/>
  <c r="V47" i="1" s="1"/>
  <c r="BB40" i="1"/>
  <c r="AY39" i="1"/>
  <c r="AQ45" i="1"/>
  <c r="AT45" i="1" s="1"/>
  <c r="AI46" i="1"/>
  <c r="G43" i="9"/>
  <c r="AI42" i="9"/>
  <c r="AO43" i="9"/>
  <c r="M43" i="9" s="1"/>
  <c r="AA38" i="9"/>
  <c r="G40" i="5"/>
  <c r="M41" i="5"/>
  <c r="J47" i="1" l="1"/>
  <c r="S46" i="1"/>
  <c r="V46" i="1" s="1"/>
  <c r="BB39" i="1"/>
  <c r="AY38" i="1"/>
  <c r="M47" i="1"/>
  <c r="E44" i="3"/>
  <c r="K44" i="3" s="1"/>
  <c r="M44" i="3" s="1"/>
  <c r="AL46" i="1"/>
  <c r="AQ44" i="1"/>
  <c r="AT44" i="1" s="1"/>
  <c r="AI45" i="1"/>
  <c r="AO42" i="9"/>
  <c r="M42" i="9" s="1"/>
  <c r="AI41" i="9"/>
  <c r="G42" i="9"/>
  <c r="AA37" i="9"/>
  <c r="G39" i="5"/>
  <c r="M40" i="5"/>
  <c r="AL45" i="1" l="1"/>
  <c r="S45" i="1"/>
  <c r="V45" i="1" s="1"/>
  <c r="BB38" i="1"/>
  <c r="AY37" i="1"/>
  <c r="AQ43" i="1"/>
  <c r="AT43" i="1" s="1"/>
  <c r="AI44" i="1"/>
  <c r="AO41" i="9"/>
  <c r="M41" i="9" s="1"/>
  <c r="G41" i="9"/>
  <c r="AI40" i="9"/>
  <c r="AA36" i="9"/>
  <c r="G38" i="5"/>
  <c r="M39" i="5"/>
  <c r="J45" i="1" l="1"/>
  <c r="S44" i="1"/>
  <c r="V44" i="1" s="1"/>
  <c r="AY36" i="1"/>
  <c r="BB37" i="1"/>
  <c r="M45" i="1"/>
  <c r="E42" i="3"/>
  <c r="K42" i="3" s="1"/>
  <c r="M42" i="3" s="1"/>
  <c r="AL44" i="1"/>
  <c r="AQ42" i="1"/>
  <c r="AT42" i="1" s="1"/>
  <c r="AI43" i="1"/>
  <c r="AO40" i="9"/>
  <c r="M40" i="9" s="1"/>
  <c r="G40" i="9"/>
  <c r="AI39" i="9"/>
  <c r="AA35" i="9"/>
  <c r="G37" i="5"/>
  <c r="M38" i="5"/>
  <c r="AL43" i="1" l="1"/>
  <c r="S43" i="1"/>
  <c r="V43" i="1" s="1"/>
  <c r="BB36" i="1"/>
  <c r="AY35" i="1"/>
  <c r="AQ41" i="1"/>
  <c r="AT41" i="1" s="1"/>
  <c r="AI42" i="1"/>
  <c r="G39" i="9"/>
  <c r="AI38" i="9"/>
  <c r="AO39" i="9"/>
  <c r="M39" i="9" s="1"/>
  <c r="AA34" i="9"/>
  <c r="G36" i="5"/>
  <c r="M37" i="5"/>
  <c r="J43" i="1" l="1"/>
  <c r="S42" i="1"/>
  <c r="V42" i="1" s="1"/>
  <c r="BB35" i="1"/>
  <c r="AY34" i="1"/>
  <c r="M43" i="1"/>
  <c r="E40" i="3"/>
  <c r="K40" i="3" s="1"/>
  <c r="M40" i="3" s="1"/>
  <c r="AL42" i="1"/>
  <c r="AQ40" i="1"/>
  <c r="AT40" i="1" s="1"/>
  <c r="AI41" i="1"/>
  <c r="G38" i="9"/>
  <c r="AO38" i="9"/>
  <c r="M38" i="9" s="1"/>
  <c r="AI37" i="9"/>
  <c r="AA33" i="9"/>
  <c r="G35" i="5"/>
  <c r="M36" i="5"/>
  <c r="AL41" i="1" l="1"/>
  <c r="S41" i="1"/>
  <c r="V41" i="1" s="1"/>
  <c r="BB34" i="1"/>
  <c r="AY33" i="1"/>
  <c r="AQ39" i="1"/>
  <c r="AT39" i="1" s="1"/>
  <c r="AI40" i="1"/>
  <c r="G37" i="9"/>
  <c r="AI36" i="9"/>
  <c r="AO37" i="9"/>
  <c r="M37" i="9" s="1"/>
  <c r="AA32" i="9"/>
  <c r="G34" i="5"/>
  <c r="M35" i="5"/>
  <c r="J41" i="1" l="1"/>
  <c r="S40" i="1"/>
  <c r="V40" i="1" s="1"/>
  <c r="AY32" i="1"/>
  <c r="BB33" i="1"/>
  <c r="M41" i="1"/>
  <c r="E38" i="3"/>
  <c r="K38" i="3" s="1"/>
  <c r="M38" i="3" s="1"/>
  <c r="AL40" i="1"/>
  <c r="AQ38" i="1"/>
  <c r="AT38" i="1" s="1"/>
  <c r="AI39" i="1"/>
  <c r="G36" i="9"/>
  <c r="AO36" i="9"/>
  <c r="M36" i="9" s="1"/>
  <c r="AI35" i="9"/>
  <c r="AA31" i="9"/>
  <c r="G33" i="5"/>
  <c r="M34" i="5"/>
  <c r="AL39" i="1" l="1"/>
  <c r="S39" i="1"/>
  <c r="V39" i="1" s="1"/>
  <c r="AY31" i="1"/>
  <c r="BB32" i="1"/>
  <c r="AQ37" i="1"/>
  <c r="AT37" i="1" s="1"/>
  <c r="AI38" i="1"/>
  <c r="G35" i="9"/>
  <c r="AO35" i="9"/>
  <c r="M35" i="9" s="1"/>
  <c r="AI34" i="9"/>
  <c r="AA30" i="9"/>
  <c r="G32" i="5"/>
  <c r="M33" i="5"/>
  <c r="J39" i="1" l="1"/>
  <c r="S38" i="1"/>
  <c r="V38" i="1" s="1"/>
  <c r="AY30" i="1"/>
  <c r="BB31" i="1"/>
  <c r="M39" i="1"/>
  <c r="E36" i="3"/>
  <c r="K36" i="3" s="1"/>
  <c r="M36" i="3" s="1"/>
  <c r="AL38" i="1"/>
  <c r="AQ36" i="1"/>
  <c r="AT36" i="1" s="1"/>
  <c r="AI37" i="1"/>
  <c r="G34" i="9"/>
  <c r="AI33" i="9"/>
  <c r="AO34" i="9"/>
  <c r="M34" i="9" s="1"/>
  <c r="AA29" i="9"/>
  <c r="G31" i="5"/>
  <c r="M32" i="5"/>
  <c r="AL37" i="1" l="1"/>
  <c r="S37" i="1"/>
  <c r="V37" i="1" s="1"/>
  <c r="BB30" i="1"/>
  <c r="AY29" i="1"/>
  <c r="AQ35" i="1"/>
  <c r="AT35" i="1" s="1"/>
  <c r="AI36" i="1"/>
  <c r="G33" i="9"/>
  <c r="AO33" i="9"/>
  <c r="M33" i="9" s="1"/>
  <c r="AI32" i="9"/>
  <c r="AA28" i="9"/>
  <c r="G30" i="5"/>
  <c r="M31" i="5"/>
  <c r="J37" i="1" l="1"/>
  <c r="S36" i="1"/>
  <c r="V36" i="1" s="1"/>
  <c r="AY28" i="1"/>
  <c r="BB29" i="1"/>
  <c r="M37" i="1"/>
  <c r="E34" i="3"/>
  <c r="K34" i="3" s="1"/>
  <c r="M34" i="3" s="1"/>
  <c r="AL36" i="1"/>
  <c r="AQ34" i="1"/>
  <c r="AT34" i="1" s="1"/>
  <c r="AI35" i="1"/>
  <c r="G32" i="9"/>
  <c r="AI31" i="9"/>
  <c r="AO32" i="9"/>
  <c r="M32" i="9" s="1"/>
  <c r="AA27" i="9"/>
  <c r="G29" i="5"/>
  <c r="M30" i="5"/>
  <c r="AL35" i="1" l="1"/>
  <c r="S35" i="1"/>
  <c r="V35" i="1" s="1"/>
  <c r="AY27" i="1"/>
  <c r="BB28" i="1"/>
  <c r="AQ33" i="1"/>
  <c r="AT33" i="1" s="1"/>
  <c r="AI34" i="1"/>
  <c r="G31" i="9"/>
  <c r="AI30" i="9"/>
  <c r="AO31" i="9"/>
  <c r="M31" i="9" s="1"/>
  <c r="AA26" i="9"/>
  <c r="G28" i="5"/>
  <c r="M29" i="5"/>
  <c r="J35" i="1" l="1"/>
  <c r="S34" i="1"/>
  <c r="V34" i="1" s="1"/>
  <c r="BB27" i="1"/>
  <c r="AY26" i="1"/>
  <c r="M35" i="1"/>
  <c r="E32" i="3"/>
  <c r="K32" i="3" s="1"/>
  <c r="M32" i="3" s="1"/>
  <c r="AL34" i="1"/>
  <c r="AQ32" i="1"/>
  <c r="AT32" i="1" s="1"/>
  <c r="AI33" i="1"/>
  <c r="G30" i="9"/>
  <c r="AO30" i="9"/>
  <c r="M30" i="9" s="1"/>
  <c r="AI29" i="9"/>
  <c r="AA25" i="9"/>
  <c r="G27" i="5"/>
  <c r="M28" i="5"/>
  <c r="AL33" i="1" l="1"/>
  <c r="S33" i="1"/>
  <c r="V33" i="1" s="1"/>
  <c r="BB26" i="1"/>
  <c r="AY25" i="1"/>
  <c r="AQ31" i="1"/>
  <c r="AT31" i="1" s="1"/>
  <c r="AI32" i="1"/>
  <c r="G29" i="9"/>
  <c r="AO29" i="9"/>
  <c r="M29" i="9" s="1"/>
  <c r="AI28" i="9"/>
  <c r="AA24" i="9"/>
  <c r="G26" i="5"/>
  <c r="M27" i="5"/>
  <c r="J33" i="1" l="1"/>
  <c r="S32" i="1"/>
  <c r="V32" i="1" s="1"/>
  <c r="AY24" i="1"/>
  <c r="BB25" i="1"/>
  <c r="M33" i="1"/>
  <c r="E30" i="3"/>
  <c r="K30" i="3" s="1"/>
  <c r="M30" i="3" s="1"/>
  <c r="AL32" i="1"/>
  <c r="AQ30" i="1"/>
  <c r="AT30" i="1" s="1"/>
  <c r="AI31" i="1"/>
  <c r="G28" i="9"/>
  <c r="AO28" i="9"/>
  <c r="M28" i="9" s="1"/>
  <c r="AI27" i="9"/>
  <c r="AA23" i="9"/>
  <c r="G25" i="5"/>
  <c r="M26" i="5"/>
  <c r="AL31" i="1" l="1"/>
  <c r="S31" i="1"/>
  <c r="V31" i="1" s="1"/>
  <c r="AY23" i="1"/>
  <c r="BB24" i="1"/>
  <c r="AQ29" i="1"/>
  <c r="AT29" i="1" s="1"/>
  <c r="AI30" i="1"/>
  <c r="G27" i="9"/>
  <c r="AI26" i="9"/>
  <c r="AO27" i="9"/>
  <c r="M27" i="9" s="1"/>
  <c r="AA22" i="9"/>
  <c r="G24" i="5"/>
  <c r="M25" i="5"/>
  <c r="J31" i="1" l="1"/>
  <c r="S30" i="1"/>
  <c r="V30" i="1" s="1"/>
  <c r="AY22" i="1"/>
  <c r="BB23" i="1"/>
  <c r="M31" i="1"/>
  <c r="E28" i="3"/>
  <c r="K28" i="3" s="1"/>
  <c r="M28" i="3" s="1"/>
  <c r="AL30" i="1"/>
  <c r="AQ28" i="1"/>
  <c r="AT28" i="1" s="1"/>
  <c r="AI29" i="1"/>
  <c r="G26" i="9"/>
  <c r="AI25" i="9"/>
  <c r="AO26" i="9"/>
  <c r="M26" i="9" s="1"/>
  <c r="AA21" i="9"/>
  <c r="G23" i="5"/>
  <c r="M24" i="5"/>
  <c r="AL29" i="1" l="1"/>
  <c r="S29" i="1"/>
  <c r="V29" i="1" s="1"/>
  <c r="BB22" i="1"/>
  <c r="AY21" i="1"/>
  <c r="AQ27" i="1"/>
  <c r="AT27" i="1" s="1"/>
  <c r="AI28" i="1"/>
  <c r="G25" i="9"/>
  <c r="AO25" i="9"/>
  <c r="M25" i="9" s="1"/>
  <c r="AI24" i="9"/>
  <c r="AA20" i="9"/>
  <c r="G22" i="5"/>
  <c r="M23" i="5"/>
  <c r="J29" i="1" l="1"/>
  <c r="S28" i="1"/>
  <c r="V28" i="1" s="1"/>
  <c r="AY20" i="1"/>
  <c r="BB21" i="1"/>
  <c r="M29" i="1"/>
  <c r="E26" i="3"/>
  <c r="K26" i="3" s="1"/>
  <c r="M26" i="3" s="1"/>
  <c r="AL28" i="1"/>
  <c r="AQ26" i="1"/>
  <c r="AT26" i="1" s="1"/>
  <c r="AI27" i="1"/>
  <c r="G24" i="9"/>
  <c r="AI23" i="9"/>
  <c r="AO24" i="9"/>
  <c r="M24" i="9" s="1"/>
  <c r="AA19" i="9"/>
  <c r="G21" i="5"/>
  <c r="M22" i="5"/>
  <c r="AL27" i="1" l="1"/>
  <c r="S27" i="1"/>
  <c r="V27" i="1" s="1"/>
  <c r="BB20" i="1"/>
  <c r="AY19" i="1"/>
  <c r="AQ25" i="1"/>
  <c r="AT25" i="1" s="1"/>
  <c r="AI26" i="1"/>
  <c r="G23" i="9"/>
  <c r="AI22" i="9"/>
  <c r="AO23" i="9"/>
  <c r="M23" i="9" s="1"/>
  <c r="AA18" i="9"/>
  <c r="G20" i="5"/>
  <c r="M21" i="5"/>
  <c r="J27" i="1" l="1"/>
  <c r="S26" i="1"/>
  <c r="V26" i="1" s="1"/>
  <c r="BB19" i="1"/>
  <c r="AY18" i="1"/>
  <c r="M27" i="1"/>
  <c r="E24" i="3"/>
  <c r="K24" i="3" s="1"/>
  <c r="M24" i="3" s="1"/>
  <c r="AL26" i="1"/>
  <c r="AQ24" i="1"/>
  <c r="AT24" i="1" s="1"/>
  <c r="AI25" i="1"/>
  <c r="G22" i="9"/>
  <c r="AI21" i="9"/>
  <c r="AO22" i="9"/>
  <c r="M22" i="9" s="1"/>
  <c r="AA17" i="9"/>
  <c r="G19" i="5"/>
  <c r="M20" i="5"/>
  <c r="AL25" i="1" l="1"/>
  <c r="S25" i="1"/>
  <c r="V25" i="1" s="1"/>
  <c r="BB18" i="1"/>
  <c r="AY17" i="1"/>
  <c r="AQ23" i="1"/>
  <c r="AT23" i="1" s="1"/>
  <c r="AI24" i="1"/>
  <c r="G21" i="9"/>
  <c r="AO21" i="9"/>
  <c r="M21" i="9" s="1"/>
  <c r="AI20" i="9"/>
  <c r="AA16" i="9"/>
  <c r="G18" i="5"/>
  <c r="M19" i="5"/>
  <c r="J25" i="1" l="1"/>
  <c r="S24" i="1"/>
  <c r="V24" i="1" s="1"/>
  <c r="AY16" i="1"/>
  <c r="BB17" i="1"/>
  <c r="M25" i="1"/>
  <c r="E22" i="3"/>
  <c r="K22" i="3" s="1"/>
  <c r="M22" i="3" s="1"/>
  <c r="AL24" i="1"/>
  <c r="AQ22" i="1"/>
  <c r="AT22" i="1" s="1"/>
  <c r="AI23" i="1"/>
  <c r="G20" i="9"/>
  <c r="AI19" i="9"/>
  <c r="AO20" i="9"/>
  <c r="M20" i="9" s="1"/>
  <c r="AA15" i="9"/>
  <c r="G17" i="5"/>
  <c r="M18" i="5"/>
  <c r="AL23" i="1" l="1"/>
  <c r="S23" i="1"/>
  <c r="V23" i="1" s="1"/>
  <c r="BB16" i="1"/>
  <c r="AY15" i="1"/>
  <c r="AQ21" i="1"/>
  <c r="AT21" i="1" s="1"/>
  <c r="AI22" i="1"/>
  <c r="G19" i="9"/>
  <c r="AO19" i="9"/>
  <c r="M19" i="9" s="1"/>
  <c r="AI18" i="9"/>
  <c r="AA14" i="9"/>
  <c r="AO10" i="9"/>
  <c r="M10" i="9" s="1"/>
  <c r="G16" i="5"/>
  <c r="M17" i="5"/>
  <c r="J23" i="1" l="1"/>
  <c r="S22" i="1"/>
  <c r="V22" i="1" s="1"/>
  <c r="AY14" i="1"/>
  <c r="BB15" i="1"/>
  <c r="M23" i="1"/>
  <c r="E20" i="3"/>
  <c r="K20" i="3" s="1"/>
  <c r="M20" i="3" s="1"/>
  <c r="AL22" i="1"/>
  <c r="AQ20" i="1"/>
  <c r="AT20" i="1" s="1"/>
  <c r="AI21" i="1"/>
  <c r="G18" i="9"/>
  <c r="AO18" i="9"/>
  <c r="M18" i="9" s="1"/>
  <c r="AI17" i="9"/>
  <c r="AA13" i="9"/>
  <c r="G15" i="5"/>
  <c r="M16" i="5"/>
  <c r="AL21" i="1" l="1"/>
  <c r="S21" i="1"/>
  <c r="V21" i="1" s="1"/>
  <c r="BA14" i="1"/>
  <c r="BB14" i="1" s="1"/>
  <c r="AQ19" i="1"/>
  <c r="AT19" i="1" s="1"/>
  <c r="AI20" i="1"/>
  <c r="G17" i="9"/>
  <c r="AO17" i="9"/>
  <c r="M17" i="9" s="1"/>
  <c r="AI16" i="9"/>
  <c r="U55" i="9"/>
  <c r="AA12" i="9"/>
  <c r="G14" i="5"/>
  <c r="M15" i="5"/>
  <c r="J21" i="1" l="1"/>
  <c r="S20" i="1"/>
  <c r="V20" i="1" s="1"/>
  <c r="M21" i="1"/>
  <c r="E18" i="3"/>
  <c r="K18" i="3" s="1"/>
  <c r="M18" i="3" s="1"/>
  <c r="AL20" i="1"/>
  <c r="AQ18" i="1"/>
  <c r="AT18" i="1" s="1"/>
  <c r="AI19" i="1"/>
  <c r="G16" i="9"/>
  <c r="AI15" i="9"/>
  <c r="AO16" i="9"/>
  <c r="M16" i="9" s="1"/>
  <c r="AA11" i="9"/>
  <c r="G13" i="5"/>
  <c r="M14" i="5"/>
  <c r="AL19" i="1" l="1"/>
  <c r="S19" i="1"/>
  <c r="V19" i="1" s="1"/>
  <c r="AQ17" i="1"/>
  <c r="AT17" i="1" s="1"/>
  <c r="AI18" i="1"/>
  <c r="G15" i="9"/>
  <c r="AO15" i="9"/>
  <c r="M15" i="9" s="1"/>
  <c r="AI14" i="9"/>
  <c r="G12" i="5"/>
  <c r="M13" i="5"/>
  <c r="J19" i="1" l="1"/>
  <c r="S18" i="1"/>
  <c r="V18" i="1" s="1"/>
  <c r="M19" i="1"/>
  <c r="E16" i="3"/>
  <c r="K16" i="3" s="1"/>
  <c r="M16" i="3" s="1"/>
  <c r="AL18" i="1"/>
  <c r="AQ16" i="1"/>
  <c r="AT16" i="1" s="1"/>
  <c r="AI17" i="1"/>
  <c r="G14" i="9"/>
  <c r="AI13" i="9"/>
  <c r="AO14" i="9"/>
  <c r="M14" i="9" s="1"/>
  <c r="G11" i="5"/>
  <c r="M12" i="5"/>
  <c r="AL17" i="1" l="1"/>
  <c r="S17" i="1"/>
  <c r="V17" i="1" s="1"/>
  <c r="AQ15" i="1"/>
  <c r="AT15" i="1" s="1"/>
  <c r="AI16" i="1"/>
  <c r="AZ58" i="1"/>
  <c r="G13" i="9"/>
  <c r="AI12" i="9"/>
  <c r="AO13" i="9"/>
  <c r="M13" i="9" s="1"/>
  <c r="G10" i="5"/>
  <c r="M11" i="5"/>
  <c r="J17" i="1" l="1"/>
  <c r="S16" i="1"/>
  <c r="V16" i="1" s="1"/>
  <c r="M17" i="1"/>
  <c r="E14" i="3"/>
  <c r="K14" i="3" s="1"/>
  <c r="M14" i="3" s="1"/>
  <c r="AL16" i="1"/>
  <c r="AQ14" i="1"/>
  <c r="AI15" i="1"/>
  <c r="G12" i="9"/>
  <c r="AO12" i="9"/>
  <c r="M12" i="9" s="1"/>
  <c r="AI11" i="9"/>
  <c r="M10" i="5"/>
  <c r="AL15" i="1" l="1"/>
  <c r="S15" i="1"/>
  <c r="V15" i="1" s="1"/>
  <c r="BA58" i="1"/>
  <c r="AY58" i="1"/>
  <c r="AS14" i="1"/>
  <c r="AT14" i="1" s="1"/>
  <c r="AI14" i="1"/>
  <c r="AQ58" i="1"/>
  <c r="AM11" i="9"/>
  <c r="G11" i="9"/>
  <c r="G55" i="9" s="1"/>
  <c r="AI55" i="9"/>
  <c r="K49" i="5"/>
  <c r="G49" i="5"/>
  <c r="J15" i="1" l="1"/>
  <c r="S14" i="1"/>
  <c r="S58" i="1" s="1"/>
  <c r="BB58" i="1"/>
  <c r="AI58" i="1"/>
  <c r="AT58" i="1"/>
  <c r="AK14" i="1"/>
  <c r="AS58" i="1"/>
  <c r="I10" i="3"/>
  <c r="K11" i="9"/>
  <c r="K55" i="9" s="1"/>
  <c r="AM55" i="9"/>
  <c r="AO11" i="9"/>
  <c r="M49" i="5"/>
  <c r="E12" i="3" l="1"/>
  <c r="E52" i="3" s="1"/>
  <c r="J58" i="1"/>
  <c r="L15" i="1"/>
  <c r="L58" i="1" s="1"/>
  <c r="U14" i="1"/>
  <c r="I12" i="3"/>
  <c r="K12" i="3" s="1"/>
  <c r="M12" i="3" s="1"/>
  <c r="K10" i="3"/>
  <c r="AK58" i="1"/>
  <c r="AL14" i="1"/>
  <c r="AL58" i="1" s="1"/>
  <c r="M11" i="9"/>
  <c r="AO55" i="9"/>
  <c r="K52" i="3" l="1"/>
  <c r="M15" i="1"/>
  <c r="M58" i="1" s="1"/>
  <c r="I52" i="3"/>
  <c r="V14" i="1"/>
  <c r="V58" i="1" s="1"/>
  <c r="U58" i="1"/>
  <c r="M10" i="3"/>
  <c r="M52" i="3" s="1"/>
  <c r="AA46" i="9"/>
  <c r="M46" i="9" s="1"/>
  <c r="M55" i="9" s="1"/>
  <c r="AA47" i="9"/>
  <c r="M47" i="9" s="1"/>
  <c r="AA50" i="9"/>
  <c r="M50" i="9" s="1"/>
  <c r="AA55" i="9" l="1"/>
</calcChain>
</file>

<file path=xl/sharedStrings.xml><?xml version="1.0" encoding="utf-8"?>
<sst xmlns="http://schemas.openxmlformats.org/spreadsheetml/2006/main" count="382" uniqueCount="130">
  <si>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</si>
  <si>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</si>
  <si>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</si>
  <si>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</si>
  <si>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</si>
  <si>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</si>
  <si>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</si>
  <si>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</si>
  <si>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</si>
  <si>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</si>
  <si>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METROPOLITAN PIER AND EXPOSITION AUTHORITY</t>
  </si>
  <si>
    <t>Debt</t>
  </si>
  <si>
    <t xml:space="preserve">Capitalized </t>
  </si>
  <si>
    <t>Service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</si>
  <si>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</si>
  <si>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</si>
  <si>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</si>
  <si>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</si>
  <si>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</si>
  <si>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</si>
  <si>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</si>
  <si>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</si>
  <si>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</si>
  <si>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</si>
  <si>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</si>
  <si>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</si>
  <si>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</si>
  <si>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</si>
  <si>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</si>
  <si>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</si>
  <si>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</si>
  <si>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</si>
  <si>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</si>
  <si>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</si>
  <si>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</si>
  <si>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</si>
  <si>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</si>
  <si>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</si>
  <si>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</si>
  <si>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</si>
  <si>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</si>
  <si>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</si>
  <si>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</si>
  <si>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</si>
  <si>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</si>
  <si>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</si>
  <si>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</si>
  <si>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</si>
  <si>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</si>
  <si>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</si>
  <si>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</si>
  <si>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</si>
  <si>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</si>
  <si>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</si>
  <si>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</si>
  <si>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</si>
  <si>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</si>
  <si>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</si>
  <si>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</si>
  <si>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</si>
  <si>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</si>
  <si>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</si>
  <si>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</si>
  <si>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</si>
  <si>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</si>
  <si>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</si>
  <si>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</si>
  <si>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</si>
  <si>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</si>
  <si>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</si>
  <si>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</si>
  <si>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</si>
  <si>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</si>
  <si>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</si>
  <si>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</si>
  <si>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</si>
  <si>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</si>
  <si>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</si>
  <si>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</si>
  <si>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</si>
  <si>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</si>
  <si>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</si>
  <si>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</si>
  <si>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</si>
  <si>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</si>
  <si>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</si>
  <si>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</si>
  <si>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</si>
  <si>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</si>
  <si>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</si>
  <si>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</si>
  <si>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</si>
  <si>
    <t>MPEA Project Revenue Bond Debt Service</t>
  </si>
  <si>
    <t>Series 2023A and 2023B Project Revenue Bonds</t>
  </si>
  <si>
    <t>2023A</t>
  </si>
  <si>
    <t>2023B</t>
  </si>
  <si>
    <t>2023A &amp; 2023B</t>
  </si>
  <si>
    <t>(After Issuance of Series 2023A and 2023B Project Revenue Bonds)</t>
  </si>
  <si>
    <t>Project Revenue Bonds, 2023A</t>
  </si>
  <si>
    <t>Project Revenue Bonds, 2023B</t>
  </si>
  <si>
    <t>2019A</t>
  </si>
  <si>
    <t>Aggregate Annual Debt Service</t>
  </si>
  <si>
    <t>Aggregate Semi-Annual Debt Service</t>
  </si>
  <si>
    <r>
      <t xml:space="preserve">Project Revenue Bonds, </t>
    </r>
    <r>
      <rPr>
        <b/>
        <sz val="10"/>
        <color rgb="FF0070C0"/>
        <rFont val="Times New Roman"/>
        <family val="1"/>
      </rPr>
      <t>2023A</t>
    </r>
    <r>
      <rPr>
        <b/>
        <sz val="10"/>
        <rFont val="Times New Roman"/>
        <family val="1"/>
      </rPr>
      <t xml:space="preserve"> and </t>
    </r>
    <r>
      <rPr>
        <b/>
        <sz val="10"/>
        <color rgb="FF0070C0"/>
        <rFont val="Times New Roman"/>
        <family val="1"/>
      </rPr>
      <t>2023B</t>
    </r>
  </si>
  <si>
    <t>Total Outstanding Debt Service</t>
  </si>
  <si>
    <t>Various</t>
  </si>
  <si>
    <t>FY Annual</t>
  </si>
  <si>
    <t>Total MBE</t>
  </si>
  <si>
    <t xml:space="preserve">    Total Cost Of Issuance</t>
  </si>
  <si>
    <t>MPEA Misc Expenses incuding Rounding</t>
  </si>
  <si>
    <t>Amalgamated Bank of Chicago-Trustee Acceptance + Admin.</t>
  </si>
  <si>
    <t>Charity &amp; Associates (Disclosure Counsel)</t>
  </si>
  <si>
    <t>Katten Muchin Rosenmann (Bond Counsel)</t>
  </si>
  <si>
    <t xml:space="preserve">    Total Underwriter's fees</t>
  </si>
  <si>
    <t>UW Expenses:</t>
  </si>
  <si>
    <t>DAC Fee</t>
  </si>
  <si>
    <t>DTC Charge</t>
  </si>
  <si>
    <t>Day Loan</t>
  </si>
  <si>
    <t>Dalnet New Service Charge</t>
  </si>
  <si>
    <t>Dalnet Book Running System</t>
  </si>
  <si>
    <t>CUSIP Fee and CUSIP Disclosure fee</t>
  </si>
  <si>
    <t>Kutak (Underwriter's / Purchaser's Counsel)</t>
  </si>
  <si>
    <t xml:space="preserve">    Total Takedown</t>
  </si>
  <si>
    <t>Purchaser- Vanguard (0.250% of Par Commitment Fee)</t>
  </si>
  <si>
    <t>UW- Morgan Stanley (0.625% of Par)</t>
  </si>
  <si>
    <t>Series 2023B</t>
  </si>
  <si>
    <t>Series 2023A</t>
  </si>
  <si>
    <t>Par Amount</t>
  </si>
  <si>
    <t>Final Costs Of Issuance</t>
  </si>
  <si>
    <t xml:space="preserve">MPEA Project Revenue Bond, Series 2023A and 2023B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</si>
</sst>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  <numFmt numFmtId="171" formatCode="_(* #,##0_);_(* \(#,##0\);_(* &quot;-&quot;??_);_(@_)"/>
  </numFmts>
  <fonts count="47" x14ac:knownFonts="1">
    <font>
      <sz val="8"/>
      <color indexed="2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  <font>
      <sz val="10"/>
      <color indexed="22"/>
      <name val="Times New Roman"/>
      <family val="1"/>
    </font>
    <font>
      <b/>
      <u/>
      <sz val="10"/>
      <name val="Times New Roman"/>
      <family val="1"/>
    </font>
    <font>
      <sz val="10"/>
      <color indexed="44"/>
      <name val="Times New Roman"/>
      <family val="1"/>
    </font>
    <font>
      <b/>
      <sz val="10"/>
      <color rgb="FF0070C0"/>
      <name val="Times New Roman"/>
      <family val="1"/>
    </font>
    <font>
      <u val="singleAccounting"/>
      <sz val="10"/>
      <name val="Times New Roman"/>
      <family val="1"/>
    </font>
    <font>
      <sz val="10"/>
      <color theme="0"/>
      <name val="Times New Roman"/>
      <family val="1"/>
    </font>
    <font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u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B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6" fontId="10" fillId="0" borderId="2" xfId="0" quotePrefix="1" applyNumberFormat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164" fontId="5" fillId="0" borderId="0" xfId="0" applyNumberFormat="1" applyFont="1" applyAlignment="1">
      <alignment horizontal="center"/>
    </xf>
    <xf numFmtId="0" fontId="15" fillId="0" borderId="0" xfId="0" applyFont="1"/>
    <xf numFmtId="0" fontId="18" fillId="0" borderId="0" xfId="0" applyFont="1"/>
    <xf numFmtId="0" fontId="5" fillId="0" borderId="0" xfId="0" applyFont="1"/>
    <xf numFmtId="164" fontId="12" fillId="0" borderId="0" xfId="0" applyNumberFormat="1" applyFont="1" applyAlignment="1">
      <alignment horizontal="center"/>
    </xf>
    <xf numFmtId="0" fontId="12" fillId="0" borderId="0" xfId="0" applyFont="1"/>
    <xf numFmtId="4" fontId="12" fillId="0" borderId="0" xfId="0" applyNumberFormat="1" applyFont="1"/>
    <xf numFmtId="164" fontId="4" fillId="0" borderId="0" xfId="0" applyNumberFormat="1" applyFont="1" applyAlignment="1">
      <alignment horizontal="left"/>
    </xf>
    <xf numFmtId="14" fontId="4" fillId="0" borderId="2" xfId="0" applyNumberFormat="1" applyFont="1" applyBorder="1" applyAlignment="1">
      <alignment horizontal="center"/>
    </xf>
    <xf numFmtId="165" fontId="4" fillId="0" borderId="0" xfId="3" applyNumberFormat="1" applyFont="1" applyFill="1" applyBorder="1" applyAlignment="1">
      <alignment horizontal="center"/>
    </xf>
    <xf numFmtId="44" fontId="4" fillId="0" borderId="0" xfId="2" applyFont="1" applyFill="1" applyBorder="1"/>
    <xf numFmtId="44" fontId="4" fillId="0" borderId="1" xfId="2" applyFont="1" applyFill="1" applyBorder="1"/>
    <xf numFmtId="43" fontId="4" fillId="0" borderId="0" xfId="1" applyFont="1" applyFill="1" applyBorder="1"/>
    <xf numFmtId="0" fontId="7" fillId="0" borderId="0" xfId="0" applyFont="1"/>
    <xf numFmtId="14" fontId="4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4" fillId="0" borderId="5" xfId="0" applyNumberFormat="1" applyFont="1" applyBorder="1"/>
    <xf numFmtId="164" fontId="16" fillId="0" borderId="0" xfId="0" applyNumberFormat="1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9" fillId="0" borderId="0" xfId="0" applyFont="1"/>
    <xf numFmtId="0" fontId="20" fillId="0" borderId="1" xfId="0" applyFont="1" applyBorder="1"/>
    <xf numFmtId="0" fontId="12" fillId="0" borderId="1" xfId="0" applyFont="1" applyBorder="1"/>
    <xf numFmtId="0" fontId="20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6" xfId="0" applyFont="1" applyBorder="1" applyAlignment="1">
      <alignment horizontal="left"/>
    </xf>
    <xf numFmtId="0" fontId="21" fillId="0" borderId="6" xfId="0" applyFont="1" applyBorder="1" applyAlignment="1">
      <alignment horizontal="right"/>
    </xf>
    <xf numFmtId="0" fontId="21" fillId="0" borderId="6" xfId="0" applyFont="1" applyBorder="1"/>
    <xf numFmtId="14" fontId="12" fillId="0" borderId="0" xfId="0" applyNumberFormat="1" applyFont="1" applyAlignment="1">
      <alignment horizontal="left"/>
    </xf>
    <xf numFmtId="14" fontId="21" fillId="0" borderId="4" xfId="0" applyNumberFormat="1" applyFont="1" applyBorder="1" applyAlignment="1">
      <alignment horizontal="left"/>
    </xf>
    <xf numFmtId="4" fontId="21" fillId="0" borderId="4" xfId="0" applyNumberFormat="1" applyFont="1" applyBorder="1"/>
    <xf numFmtId="14" fontId="21" fillId="0" borderId="1" xfId="0" applyNumberFormat="1" applyFont="1" applyBorder="1" applyAlignment="1">
      <alignment horizontal="left"/>
    </xf>
    <xf numFmtId="4" fontId="21" fillId="0" borderId="1" xfId="0" applyNumberFormat="1" applyFont="1" applyBorder="1"/>
    <xf numFmtId="10" fontId="12" fillId="0" borderId="0" xfId="3" applyNumberFormat="1" applyFont="1" applyFill="1" applyBorder="1"/>
    <xf numFmtId="0" fontId="10" fillId="0" borderId="2" xfId="0" quotePrefix="1" applyFont="1" applyBorder="1"/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centerContinuous"/>
    </xf>
    <xf numFmtId="44" fontId="4" fillId="0" borderId="0" xfId="2" applyFont="1"/>
    <xf numFmtId="0" fontId="25" fillId="0" borderId="0" xfId="0" applyFont="1" applyAlignment="1">
      <alignment horizontal="right"/>
    </xf>
    <xf numFmtId="166" fontId="5" fillId="0" borderId="0" xfId="0" applyNumberFormat="1" applyFont="1"/>
    <xf numFmtId="167" fontId="4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0" fontId="5" fillId="0" borderId="2" xfId="0" applyFont="1" applyBorder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43" fontId="4" fillId="0" borderId="0" xfId="0" applyNumberFormat="1" applyFont="1"/>
    <xf numFmtId="4" fontId="4" fillId="0" borderId="2" xfId="0" applyNumberFormat="1" applyFont="1" applyBorder="1"/>
    <xf numFmtId="168" fontId="4" fillId="0" borderId="0" xfId="3" applyNumberFormat="1" applyFont="1" applyFill="1"/>
    <xf numFmtId="169" fontId="4" fillId="0" borderId="0" xfId="0" applyNumberFormat="1" applyFont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167" fontId="4" fillId="0" borderId="5" xfId="0" applyNumberFormat="1" applyFont="1" applyBorder="1"/>
    <xf numFmtId="10" fontId="4" fillId="0" borderId="0" xfId="3" applyNumberFormat="1" applyFont="1" applyFill="1"/>
    <xf numFmtId="9" fontId="4" fillId="0" borderId="0" xfId="0" applyNumberFormat="1" applyFont="1"/>
    <xf numFmtId="167" fontId="28" fillId="0" borderId="0" xfId="0" applyNumberFormat="1" applyFont="1"/>
    <xf numFmtId="170" fontId="4" fillId="0" borderId="0" xfId="0" applyNumberFormat="1" applyFont="1" applyAlignment="1">
      <alignment horizontal="left"/>
    </xf>
    <xf numFmtId="43" fontId="4" fillId="0" borderId="0" xfId="1" applyFont="1"/>
    <xf numFmtId="43" fontId="4" fillId="0" borderId="5" xfId="1" applyFont="1" applyBorder="1"/>
    <xf numFmtId="43" fontId="12" fillId="0" borderId="0" xfId="1" applyFont="1"/>
    <xf numFmtId="43" fontId="21" fillId="0" borderId="4" xfId="1" applyFont="1" applyBorder="1"/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164" fontId="30" fillId="0" borderId="0" xfId="0" applyNumberFormat="1" applyFont="1" applyAlignment="1">
      <alignment horizontal="center"/>
    </xf>
    <xf numFmtId="43" fontId="12" fillId="0" borderId="0" xfId="1" applyFont="1" applyFill="1" applyBorder="1"/>
    <xf numFmtId="165" fontId="12" fillId="0" borderId="0" xfId="3" applyNumberFormat="1" applyFont="1" applyFill="1" applyBorder="1" applyAlignment="1">
      <alignment horizontal="center"/>
    </xf>
    <xf numFmtId="44" fontId="12" fillId="0" borderId="0" xfId="2" applyFont="1" applyFill="1" applyBorder="1"/>
    <xf numFmtId="164" fontId="4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2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Continuous"/>
    </xf>
    <xf numFmtId="0" fontId="21" fillId="3" borderId="1" xfId="0" applyFont="1" applyFill="1" applyBorder="1" applyAlignment="1">
      <alignment horizontal="left"/>
    </xf>
    <xf numFmtId="0" fontId="21" fillId="3" borderId="1" xfId="0" applyFont="1" applyFill="1" applyBorder="1"/>
    <xf numFmtId="4" fontId="12" fillId="0" borderId="0" xfId="0" applyNumberFormat="1" applyFont="1" applyAlignment="1">
      <alignment horizontal="left"/>
    </xf>
    <xf numFmtId="10" fontId="12" fillId="0" borderId="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0" fontId="12" fillId="0" borderId="0" xfId="0" applyNumberFormat="1" applyFont="1" applyAlignment="1">
      <alignment horizontal="left"/>
    </xf>
    <xf numFmtId="8" fontId="31" fillId="0" borderId="0" xfId="0" applyNumberFormat="1" applyFont="1" applyAlignment="1">
      <alignment horizontal="left"/>
    </xf>
    <xf numFmtId="10" fontId="31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0" xfId="0" applyFont="1" applyFill="1"/>
    <xf numFmtId="10" fontId="12" fillId="0" borderId="0" xfId="0" applyNumberFormat="1" applyFont="1"/>
    <xf numFmtId="43" fontId="12" fillId="0" borderId="0" xfId="1" applyFont="1" applyFill="1" applyBorder="1" applyAlignment="1">
      <alignment horizontal="left"/>
    </xf>
    <xf numFmtId="9" fontId="12" fillId="0" borderId="0" xfId="3" applyFont="1" applyFill="1" applyBorder="1" applyAlignment="1">
      <alignment horizontal="left"/>
    </xf>
    <xf numFmtId="171" fontId="12" fillId="0" borderId="0" xfId="1" applyNumberFormat="1" applyFont="1" applyFill="1" applyBorder="1" applyAlignment="1">
      <alignment horizontal="left"/>
    </xf>
    <xf numFmtId="171" fontId="12" fillId="0" borderId="0" xfId="1" applyNumberFormat="1" applyFont="1" applyFill="1" applyBorder="1"/>
    <xf numFmtId="171" fontId="12" fillId="0" borderId="0" xfId="1" applyNumberFormat="1" applyFont="1" applyFill="1" applyBorder="1" applyAlignment="1"/>
    <xf numFmtId="171" fontId="31" fillId="0" borderId="0" xfId="1" applyNumberFormat="1" applyFont="1" applyFill="1" applyBorder="1" applyAlignment="1">
      <alignment horizontal="left"/>
    </xf>
    <xf numFmtId="43" fontId="12" fillId="0" borderId="0" xfId="1" applyFont="1" applyFill="1" applyBorder="1" applyAlignment="1"/>
    <xf numFmtId="10" fontId="12" fillId="0" borderId="0" xfId="3" applyNumberFormat="1" applyFont="1" applyFill="1" applyBorder="1" applyAlignment="1">
      <alignment horizontal="center"/>
    </xf>
    <xf numFmtId="43" fontId="12" fillId="0" borderId="0" xfId="0" applyNumberFormat="1" applyFont="1"/>
    <xf numFmtId="43" fontId="19" fillId="0" borderId="0" xfId="0" applyNumberFormat="1" applyFont="1"/>
    <xf numFmtId="43" fontId="21" fillId="0" borderId="0" xfId="1" applyFont="1"/>
    <xf numFmtId="43" fontId="29" fillId="0" borderId="0" xfId="1" applyFont="1"/>
    <xf numFmtId="43" fontId="21" fillId="0" borderId="0" xfId="1" applyFont="1" applyAlignment="1">
      <alignment horizontal="right"/>
    </xf>
    <xf numFmtId="43" fontId="12" fillId="0" borderId="0" xfId="1" applyFont="1" applyAlignment="1">
      <alignment horizontal="center"/>
    </xf>
    <xf numFmtId="43" fontId="12" fillId="0" borderId="0" xfId="1" applyFont="1" applyFill="1" applyBorder="1" applyAlignment="1">
      <alignment horizontal="center"/>
    </xf>
    <xf numFmtId="10" fontId="12" fillId="0" borderId="0" xfId="0" applyNumberFormat="1" applyFont="1" applyAlignment="1">
      <alignment horizontal="right"/>
    </xf>
    <xf numFmtId="43" fontId="9" fillId="0" borderId="0" xfId="1" applyFont="1" applyAlignment="1">
      <alignment horizontal="centerContinuous"/>
    </xf>
    <xf numFmtId="43" fontId="21" fillId="3" borderId="1" xfId="1" applyFont="1" applyFill="1" applyBorder="1" applyAlignment="1">
      <alignment horizontal="left"/>
    </xf>
    <xf numFmtId="43" fontId="21" fillId="3" borderId="0" xfId="1" applyFont="1" applyFill="1" applyAlignment="1">
      <alignment horizontal="left"/>
    </xf>
    <xf numFmtId="43" fontId="19" fillId="0" borderId="0" xfId="1" applyFont="1"/>
    <xf numFmtId="43" fontId="21" fillId="0" borderId="6" xfId="1" applyFont="1" applyBorder="1" applyAlignment="1">
      <alignment horizontal="right"/>
    </xf>
    <xf numFmtId="43" fontId="33" fillId="0" borderId="0" xfId="1" applyFont="1"/>
    <xf numFmtId="14" fontId="34" fillId="0" borderId="0" xfId="0" applyNumberFormat="1" applyFont="1"/>
    <xf numFmtId="4" fontId="35" fillId="0" borderId="0" xfId="0" applyNumberFormat="1" applyFont="1"/>
    <xf numFmtId="14" fontId="2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12" fillId="0" borderId="0" xfId="0" applyNumberFormat="1" applyFont="1" applyAlignment="1">
      <alignment horizontal="left"/>
    </xf>
    <xf numFmtId="0" fontId="1" fillId="0" borderId="0" xfId="4"/>
    <xf numFmtId="43" fontId="0" fillId="0" borderId="0" xfId="5" applyFont="1" applyBorder="1"/>
    <xf numFmtId="167" fontId="36" fillId="0" borderId="0" xfId="4" applyNumberFormat="1" applyFont="1"/>
    <xf numFmtId="0" fontId="36" fillId="0" borderId="0" xfId="4" applyFont="1"/>
    <xf numFmtId="0" fontId="36" fillId="0" borderId="0" xfId="4" applyFont="1" applyAlignment="1">
      <alignment horizontal="center"/>
    </xf>
    <xf numFmtId="43" fontId="36" fillId="0" borderId="0" xfId="4" applyNumberFormat="1" applyFont="1"/>
    <xf numFmtId="43" fontId="36" fillId="0" borderId="0" xfId="5" applyFont="1" applyBorder="1"/>
    <xf numFmtId="44" fontId="36" fillId="0" borderId="0" xfId="6" applyFont="1"/>
    <xf numFmtId="43" fontId="36" fillId="0" borderId="0" xfId="5" applyFont="1"/>
    <xf numFmtId="4" fontId="36" fillId="0" borderId="0" xfId="4" applyNumberFormat="1" applyFont="1"/>
    <xf numFmtId="168" fontId="39" fillId="4" borderId="0" xfId="7" applyNumberFormat="1" applyFont="1" applyFill="1"/>
    <xf numFmtId="43" fontId="39" fillId="4" borderId="0" xfId="5" applyFont="1" applyFill="1"/>
    <xf numFmtId="0" fontId="39" fillId="4" borderId="0" xfId="4" applyFont="1" applyFill="1"/>
    <xf numFmtId="0" fontId="39" fillId="4" borderId="0" xfId="4" applyFont="1" applyFill="1" applyAlignment="1">
      <alignment horizontal="center"/>
    </xf>
    <xf numFmtId="43" fontId="36" fillId="4" borderId="0" xfId="5" applyFont="1" applyFill="1"/>
    <xf numFmtId="0" fontId="36" fillId="4" borderId="0" xfId="4" applyFont="1" applyFill="1"/>
    <xf numFmtId="0" fontId="36" fillId="4" borderId="0" xfId="4" applyFont="1" applyFill="1" applyAlignment="1">
      <alignment horizontal="center"/>
    </xf>
    <xf numFmtId="168" fontId="36" fillId="0" borderId="0" xfId="7" applyNumberFormat="1" applyFont="1" applyFill="1"/>
    <xf numFmtId="2" fontId="36" fillId="0" borderId="0" xfId="4" applyNumberFormat="1" applyFont="1"/>
    <xf numFmtId="44" fontId="36" fillId="0" borderId="0" xfId="6" applyFont="1" applyAlignment="1">
      <alignment horizontal="right"/>
    </xf>
    <xf numFmtId="43" fontId="0" fillId="0" borderId="0" xfId="5" applyFont="1"/>
    <xf numFmtId="43" fontId="36" fillId="0" borderId="0" xfId="5" applyFont="1" applyAlignment="1">
      <alignment horizontal="right"/>
    </xf>
    <xf numFmtId="0" fontId="36" fillId="0" borderId="0" xfId="4" applyFont="1" applyAlignment="1">
      <alignment horizontal="right"/>
    </xf>
    <xf numFmtId="43" fontId="36" fillId="4" borderId="2" xfId="5" applyFont="1" applyFill="1" applyBorder="1"/>
    <xf numFmtId="166" fontId="36" fillId="0" borderId="0" xfId="4" applyNumberFormat="1" applyFont="1"/>
    <xf numFmtId="171" fontId="36" fillId="0" borderId="0" xfId="5" applyNumberFormat="1" applyFont="1"/>
    <xf numFmtId="44" fontId="0" fillId="0" borderId="0" xfId="6" applyFont="1"/>
    <xf numFmtId="43" fontId="36" fillId="0" borderId="2" xfId="5" applyFont="1" applyBorder="1"/>
    <xf numFmtId="0" fontId="36" fillId="0" borderId="0" xfId="4" applyFont="1" applyAlignment="1">
      <alignment horizontal="left"/>
    </xf>
    <xf numFmtId="0" fontId="38" fillId="0" borderId="2" xfId="4" applyFont="1" applyBorder="1" applyAlignment="1">
      <alignment horizontal="center"/>
    </xf>
    <xf numFmtId="0" fontId="38" fillId="0" borderId="0" xfId="4" applyFont="1" applyAlignment="1">
      <alignment horizontal="center"/>
    </xf>
    <xf numFmtId="0" fontId="40" fillId="0" borderId="0" xfId="4" applyFont="1"/>
    <xf numFmtId="43" fontId="1" fillId="0" borderId="0" xfId="4" applyNumberFormat="1"/>
    <xf numFmtId="43" fontId="41" fillId="0" borderId="0" xfId="5" applyFont="1"/>
    <xf numFmtId="0" fontId="42" fillId="0" borderId="0" xfId="4" applyFont="1" applyAlignment="1">
      <alignment horizontal="right"/>
    </xf>
    <xf numFmtId="0" fontId="43" fillId="0" borderId="0" xfId="4" applyFont="1"/>
    <xf numFmtId="43" fontId="38" fillId="0" borderId="0" xfId="5" applyFont="1"/>
    <xf numFmtId="0" fontId="38" fillId="0" borderId="0" xfId="4" applyFont="1"/>
    <xf numFmtId="0" fontId="44" fillId="0" borderId="0" xfId="4" applyFont="1" applyAlignment="1">
      <alignment horizontal="right"/>
    </xf>
    <xf numFmtId="44" fontId="36" fillId="0" borderId="0" xfId="6" applyFont="1" applyBorder="1"/>
    <xf numFmtId="10" fontId="36" fillId="0" borderId="0" xfId="7" applyNumberFormat="1" applyFont="1" applyFill="1" applyBorder="1"/>
    <xf numFmtId="4" fontId="38" fillId="0" borderId="0" xfId="4" applyNumberFormat="1" applyFont="1"/>
    <xf numFmtId="43" fontId="36" fillId="0" borderId="0" xfId="5" applyFont="1" applyBorder="1" applyAlignment="1">
      <alignment horizontal="center"/>
    </xf>
    <xf numFmtId="44" fontId="36" fillId="0" borderId="0" xfId="4" applyNumberFormat="1" applyFont="1"/>
    <xf numFmtId="167" fontId="36" fillId="0" borderId="0" xfId="4" applyNumberFormat="1" applyFont="1" applyAlignment="1">
      <alignment horizontal="center"/>
    </xf>
    <xf numFmtId="10" fontId="36" fillId="0" borderId="0" xfId="7" applyNumberFormat="1" applyFont="1" applyBorder="1"/>
    <xf numFmtId="44" fontId="36" fillId="0" borderId="0" xfId="6" applyFont="1" applyBorder="1" applyAlignment="1">
      <alignment horizontal="center"/>
    </xf>
    <xf numFmtId="170" fontId="36" fillId="0" borderId="0" xfId="4" applyNumberFormat="1" applyFont="1" applyAlignment="1">
      <alignment horizontal="right"/>
    </xf>
    <xf numFmtId="0" fontId="1" fillId="0" borderId="0" xfId="4" applyAlignment="1">
      <alignment horizontal="right"/>
    </xf>
    <xf numFmtId="167" fontId="37" fillId="0" borderId="0" xfId="4" applyNumberFormat="1" applyFont="1"/>
    <xf numFmtId="167" fontId="0" fillId="0" borderId="0" xfId="5" applyNumberFormat="1" applyFont="1" applyBorder="1"/>
    <xf numFmtId="167" fontId="1" fillId="0" borderId="0" xfId="4" applyNumberFormat="1"/>
    <xf numFmtId="44" fontId="1" fillId="0" borderId="0" xfId="4" applyNumberFormat="1"/>
    <xf numFmtId="0" fontId="21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46" fillId="0" borderId="0" xfId="4" applyFont="1" applyAlignment="1">
      <alignment horizontal="center"/>
    </xf>
    <xf numFmtId="0" fontId="45" fillId="0" borderId="0" xfId="4" applyFont="1" applyAlignment="1">
      <alignment horizontal="center"/>
    </xf>
    <xf numFmtId="0" fontId="38" fillId="0" borderId="2" xfId="4" applyFont="1" applyBorder="1" applyAlignment="1">
      <alignment horizontal="center"/>
    </xf>
    <xf numFmtId="170" fontId="4" fillId="0" borderId="0" xfId="0" applyNumberFormat="1" applyFont="1" applyAlignment="1">
      <alignment horizontal="left"/>
    </xf>
  </cellXfs>
  <cellStyles count="8">
    <cellStyle name="Comma" xfId="1" builtinId="3"/>
    <cellStyle name="Comma 2" xfId="5" xr:uid="{906639D2-2356-471D-9DA7-B39494BA9F22}"/>
    <cellStyle name="Currency" xfId="2" builtinId="4"/>
    <cellStyle name="Currency 2" xfId="6" xr:uid="{FCA80C40-984C-436E-8790-4ECE67337A7C}"/>
    <cellStyle name="Normal" xfId="0" builtinId="0"/>
    <cellStyle name="Normal 2" xfId="4" xr:uid="{8C50AE8C-19AF-4E6D-8D7C-70B556D1B1FE}"/>
    <cellStyle name="Percent" xfId="3" builtinId="5"/>
    <cellStyle name="Percent 2" xfId="7" xr:uid="{B10802F1-DA87-49C6-AD7C-622663445F8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reasury\Jason\Debt\Series%202021A-2022A%20Expansion%20Bonds\MPEA%20Series%202021A-22A%20%20COI%200317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Bonds\State%20New%20Debt%20Filing\Expansion%202022B%20&amp;%202023A\MPEASeries2023AExpansionProject%20StateBondDisclosure%20F%20121823.xlsx" TargetMode="External"/><Relationship Id="rId1" Type="http://schemas.openxmlformats.org/officeDocument/2006/relationships/externalLinkPath" Target="/Bonds/State%20New%20Debt%20Filing/Expansion%202022B%20&amp;%202023A/MPEASeries2023AExpansionProject%20StateBondDisclosure%20F%201218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I"/>
      <sheetName val="Ser2021A"/>
      <sheetName val="Ser2022A"/>
      <sheetName val="2017UW"/>
      <sheetName val="2015UW"/>
      <sheetName val="COI (3)"/>
      <sheetName val="Total Debt"/>
      <sheetName val="2015AB"/>
      <sheetName val="Prior"/>
      <sheetName val="Series Detail"/>
      <sheetName val="FY2016"/>
    </sheetNames>
    <sheetDataSet>
      <sheetData sheetId="0"/>
      <sheetData sheetId="1">
        <row r="1">
          <cell r="A1" t="str">
            <v>MPEA 2021A Expansion Project Bond Deal</v>
          </cell>
          <cell r="B1"/>
        </row>
        <row r="2">
          <cell r="A2" t="str">
            <v>Final Cost Of Issuance</v>
          </cell>
          <cell r="B2"/>
        </row>
        <row r="4">
          <cell r="A4" t="str">
            <v>Par Amount</v>
          </cell>
          <cell r="B4">
            <v>147905000</v>
          </cell>
        </row>
        <row r="7">
          <cell r="A7"/>
          <cell r="B7"/>
        </row>
        <row r="8">
          <cell r="B8" t="str">
            <v>Series 2021A</v>
          </cell>
        </row>
        <row r="9">
          <cell r="B9"/>
        </row>
        <row r="10">
          <cell r="A10" t="str">
            <v>Goldman, Sachs &amp; Co.</v>
          </cell>
          <cell r="B10">
            <v>147905</v>
          </cell>
        </row>
        <row r="11">
          <cell r="A11"/>
          <cell r="B11"/>
        </row>
        <row r="12">
          <cell r="A12" t="str">
            <v xml:space="preserve">    Total Takedown</v>
          </cell>
          <cell r="B12">
            <v>147905</v>
          </cell>
        </row>
        <row r="13">
          <cell r="B13"/>
        </row>
        <row r="14">
          <cell r="A14" t="str">
            <v>Chapman and Cutler LLP (Underwriter's Counsel)</v>
          </cell>
          <cell r="B14">
            <v>25000</v>
          </cell>
        </row>
        <row r="15">
          <cell r="A15" t="str">
            <v>DTC</v>
          </cell>
          <cell r="B15">
            <v>350</v>
          </cell>
        </row>
        <row r="16">
          <cell r="A16" t="str">
            <v>CUSIP Fee</v>
          </cell>
          <cell r="B16">
            <v>287</v>
          </cell>
        </row>
        <row r="17">
          <cell r="B17"/>
        </row>
        <row r="18">
          <cell r="A18" t="str">
            <v xml:space="preserve">    Total Underwriter's fees</v>
          </cell>
          <cell r="B18">
            <v>173542</v>
          </cell>
        </row>
        <row r="19">
          <cell r="B19"/>
        </row>
        <row r="20">
          <cell r="A20" t="str">
            <v>Katten Muchin Rosenmann (Bond Counsel)</v>
          </cell>
          <cell r="B20">
            <v>79162</v>
          </cell>
        </row>
        <row r="21">
          <cell r="A21" t="str">
            <v>Burke Burns &amp; Pinelli (Issuer's Counsel)</v>
          </cell>
          <cell r="B21">
            <v>32500</v>
          </cell>
        </row>
        <row r="22">
          <cell r="A22" t="str">
            <v>Charity &amp; Associates (Disclosure Counsel)</v>
          </cell>
          <cell r="B22">
            <v>30000</v>
          </cell>
        </row>
        <row r="23">
          <cell r="A23" t="str">
            <v>PFM Financial (Financial Advisor)</v>
          </cell>
          <cell r="B23">
            <v>50000</v>
          </cell>
        </row>
        <row r="24">
          <cell r="A24" t="str">
            <v>TBD (Escrow Bidding Agent)</v>
          </cell>
          <cell r="B24"/>
        </row>
        <row r="25">
          <cell r="A25" t="str">
            <v>Amalgamated Bank (Trustee)</v>
          </cell>
          <cell r="B25">
            <v>8700</v>
          </cell>
        </row>
        <row r="26">
          <cell r="A26" t="str">
            <v>Zions Bank (Escrow Trustee)</v>
          </cell>
          <cell r="B26">
            <v>1000</v>
          </cell>
        </row>
        <row r="27">
          <cell r="A27" t="str">
            <v>Image Master (Print/Roadshow)</v>
          </cell>
          <cell r="B27">
            <v>0</v>
          </cell>
        </row>
        <row r="28">
          <cell r="A28" t="str">
            <v>Samuel Klein and Company (Verification Agent)</v>
          </cell>
          <cell r="B28">
            <v>1500</v>
          </cell>
        </row>
        <row r="29">
          <cell r="A29" t="str">
            <v>MPEA Misc Expenses</v>
          </cell>
          <cell r="B29">
            <v>7000</v>
          </cell>
        </row>
        <row r="30">
          <cell r="A30"/>
          <cell r="B30"/>
        </row>
        <row r="31">
          <cell r="A31" t="str">
            <v xml:space="preserve">    Total Cost Of Issuance</v>
          </cell>
          <cell r="B31">
            <v>383404</v>
          </cell>
        </row>
        <row r="32">
          <cell r="A32"/>
          <cell r="B32"/>
        </row>
        <row r="33">
          <cell r="A33" t="str">
            <v>CFO LABOR</v>
          </cell>
          <cell r="B33">
            <v>7985.04</v>
          </cell>
        </row>
        <row r="36">
          <cell r="B36"/>
        </row>
        <row r="37">
          <cell r="A37">
            <v>44643.507597685188</v>
          </cell>
          <cell r="B37"/>
        </row>
        <row r="38">
          <cell r="B38"/>
        </row>
        <row r="39">
          <cell r="B39"/>
        </row>
        <row r="40">
          <cell r="B40"/>
        </row>
        <row r="42">
          <cell r="B42"/>
        </row>
        <row r="46">
          <cell r="B46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05 2019A"/>
      <sheetName val="COI2023A"/>
      <sheetName val="2023A"/>
      <sheetName val="C-31 1of3"/>
      <sheetName val="C-31 2of3"/>
      <sheetName val="C-31 3of3"/>
      <sheetName val="Total Debt"/>
      <sheetName val="Prior"/>
      <sheetName val="Series Detail"/>
      <sheetName val="Refunded Prior"/>
      <sheetName val="FY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C1" t="str">
            <v>MPEA 2023A Expansion Project Refunding Bonds</v>
          </cell>
        </row>
        <row r="2">
          <cell r="C2" t="str">
            <v>Total Expansion Project Bonds Debt Service</v>
          </cell>
        </row>
        <row r="3">
          <cell r="C3" t="str">
            <v>(After Series 2023A Expansion Project Bond Issuance)</v>
          </cell>
        </row>
        <row r="5">
          <cell r="A5" t="str">
            <v>Maturity Schedule as of</v>
          </cell>
          <cell r="E5">
            <v>45217</v>
          </cell>
        </row>
        <row r="7">
          <cell r="A7" t="str">
            <v>Principal</v>
          </cell>
        </row>
        <row r="8">
          <cell r="A8" t="str">
            <v>Interest Payment</v>
          </cell>
          <cell r="C8" t="str">
            <v>Principal to be</v>
          </cell>
          <cell r="G8" t="str">
            <v>Compounded</v>
          </cell>
          <cell r="I8" t="str">
            <v>Capitalized</v>
          </cell>
          <cell r="M8" t="str">
            <v>Annual</v>
          </cell>
        </row>
        <row r="9">
          <cell r="A9" t="str">
            <v>Date</v>
          </cell>
          <cell r="C9" t="str">
            <v>Redeemed</v>
          </cell>
          <cell r="E9" t="str">
            <v>Interest Due</v>
          </cell>
          <cell r="G9" t="str">
            <v>Interest</v>
          </cell>
          <cell r="I9" t="str">
            <v>Interest</v>
          </cell>
          <cell r="K9" t="str">
            <v>Debt Service</v>
          </cell>
          <cell r="M9" t="str">
            <v>Debt Service</v>
          </cell>
        </row>
        <row r="10">
          <cell r="A10">
            <v>45275</v>
          </cell>
          <cell r="C10">
            <v>14599356.199999999</v>
          </cell>
          <cell r="E10">
            <v>51165600.079999998</v>
          </cell>
          <cell r="G10">
            <v>44535643.799999997</v>
          </cell>
          <cell r="I10">
            <v>0</v>
          </cell>
          <cell r="K10">
            <v>110300600.08</v>
          </cell>
        </row>
        <row r="11">
          <cell r="A11">
            <v>45458</v>
          </cell>
          <cell r="C11">
            <v>34697722.800000004</v>
          </cell>
          <cell r="E11">
            <v>52943514.663333327</v>
          </cell>
          <cell r="G11">
            <v>17157277.199999999</v>
          </cell>
          <cell r="I11">
            <v>-1907027.0833333333</v>
          </cell>
          <cell r="K11">
            <v>102891487.58000001</v>
          </cell>
          <cell r="M11">
            <v>213192087.66000003</v>
          </cell>
        </row>
        <row r="12">
          <cell r="A12">
            <v>45641</v>
          </cell>
          <cell r="C12">
            <v>17916601.25</v>
          </cell>
          <cell r="E12">
            <v>51932700.079999998</v>
          </cell>
          <cell r="G12">
            <v>92468398.75</v>
          </cell>
          <cell r="I12">
            <v>0</v>
          </cell>
          <cell r="K12">
            <v>162317700.07999998</v>
          </cell>
        </row>
        <row r="13">
          <cell r="A13">
            <v>45823</v>
          </cell>
          <cell r="C13">
            <v>31650081.900000002</v>
          </cell>
          <cell r="E13">
            <v>51796300.079999998</v>
          </cell>
          <cell r="G13">
            <v>16949918.100000001</v>
          </cell>
          <cell r="I13">
            <v>0</v>
          </cell>
          <cell r="K13">
            <v>100396300.08000001</v>
          </cell>
          <cell r="M13">
            <v>262714000.16</v>
          </cell>
        </row>
        <row r="14">
          <cell r="A14">
            <v>46006</v>
          </cell>
          <cell r="C14">
            <v>15031644</v>
          </cell>
          <cell r="E14">
            <v>51280350.079999998</v>
          </cell>
          <cell r="G14">
            <v>60213356</v>
          </cell>
          <cell r="I14">
            <v>0</v>
          </cell>
          <cell r="K14">
            <v>126525350.08</v>
          </cell>
        </row>
        <row r="15">
          <cell r="A15">
            <v>46188</v>
          </cell>
          <cell r="C15">
            <v>32132728.600000001</v>
          </cell>
          <cell r="E15">
            <v>50996137.579999998</v>
          </cell>
          <cell r="G15">
            <v>33287271.399999999</v>
          </cell>
          <cell r="I15">
            <v>0</v>
          </cell>
          <cell r="K15">
            <v>116416137.58000001</v>
          </cell>
          <cell r="M15">
            <v>242941487.66000003</v>
          </cell>
        </row>
        <row r="16">
          <cell r="A16">
            <v>46371</v>
          </cell>
          <cell r="C16">
            <v>60259290.399999999</v>
          </cell>
          <cell r="E16">
            <v>50720450.079999998</v>
          </cell>
          <cell r="G16">
            <v>39230709.600000001</v>
          </cell>
          <cell r="I16">
            <v>0</v>
          </cell>
          <cell r="K16">
            <v>150210450.07999998</v>
          </cell>
        </row>
        <row r="17">
          <cell r="A17">
            <v>46553</v>
          </cell>
          <cell r="C17">
            <v>35539557.200000003</v>
          </cell>
          <cell r="E17">
            <v>49448448.950000003</v>
          </cell>
          <cell r="G17">
            <v>42135442.799999997</v>
          </cell>
          <cell r="I17">
            <v>0</v>
          </cell>
          <cell r="K17">
            <v>127123448.95</v>
          </cell>
          <cell r="M17">
            <v>277333899.02999997</v>
          </cell>
        </row>
        <row r="18">
          <cell r="A18">
            <v>46736</v>
          </cell>
          <cell r="C18">
            <v>91030000</v>
          </cell>
          <cell r="E18">
            <v>49157498.950000003</v>
          </cell>
          <cell r="G18">
            <v>0</v>
          </cell>
          <cell r="I18">
            <v>0</v>
          </cell>
          <cell r="K18">
            <v>140187498.94999999</v>
          </cell>
        </row>
        <row r="19">
          <cell r="A19">
            <v>46919</v>
          </cell>
          <cell r="C19">
            <v>15902687.300000001</v>
          </cell>
          <cell r="E19">
            <v>47008683.329999998</v>
          </cell>
          <cell r="G19">
            <v>83087312.700000003</v>
          </cell>
          <cell r="I19">
            <v>0</v>
          </cell>
          <cell r="K19">
            <v>145998683.32999998</v>
          </cell>
          <cell r="M19">
            <v>286186182.27999997</v>
          </cell>
        </row>
        <row r="20">
          <cell r="A20">
            <v>47102</v>
          </cell>
          <cell r="C20">
            <v>80925000</v>
          </cell>
          <cell r="E20">
            <v>46843820.829999998</v>
          </cell>
          <cell r="G20">
            <v>0</v>
          </cell>
          <cell r="I20">
            <v>0</v>
          </cell>
          <cell r="K20">
            <v>127768820.83</v>
          </cell>
        </row>
        <row r="21">
          <cell r="A21">
            <v>47284</v>
          </cell>
          <cell r="C21">
            <v>15495321.300000001</v>
          </cell>
          <cell r="E21">
            <v>44901325</v>
          </cell>
          <cell r="G21">
            <v>83719678.700000003</v>
          </cell>
          <cell r="I21">
            <v>0</v>
          </cell>
          <cell r="K21">
            <v>144116325</v>
          </cell>
          <cell r="M21">
            <v>271885145.82999998</v>
          </cell>
        </row>
        <row r="22">
          <cell r="A22">
            <v>47467</v>
          </cell>
          <cell r="C22">
            <v>6595539.0499999998</v>
          </cell>
          <cell r="E22">
            <v>44730275</v>
          </cell>
          <cell r="G22">
            <v>155099460.94999999</v>
          </cell>
          <cell r="I22">
            <v>0</v>
          </cell>
          <cell r="K22">
            <v>206425275</v>
          </cell>
        </row>
        <row r="23">
          <cell r="A23">
            <v>47649</v>
          </cell>
          <cell r="C23">
            <v>3486095.6</v>
          </cell>
          <cell r="E23">
            <v>44730275</v>
          </cell>
          <cell r="G23">
            <v>87108904.400000006</v>
          </cell>
          <cell r="I23">
            <v>0</v>
          </cell>
          <cell r="K23">
            <v>135325275</v>
          </cell>
          <cell r="M23">
            <v>341750550</v>
          </cell>
        </row>
        <row r="24">
          <cell r="A24">
            <v>47832</v>
          </cell>
          <cell r="C24">
            <v>12504528.5</v>
          </cell>
          <cell r="E24">
            <v>44730275</v>
          </cell>
          <cell r="G24">
            <v>155825471.5</v>
          </cell>
          <cell r="I24">
            <v>0</v>
          </cell>
          <cell r="K24">
            <v>213060275</v>
          </cell>
        </row>
        <row r="25">
          <cell r="A25">
            <v>48014</v>
          </cell>
          <cell r="C25">
            <v>3716425.6</v>
          </cell>
          <cell r="E25">
            <v>44564400</v>
          </cell>
          <cell r="G25">
            <v>92413574.400000006</v>
          </cell>
          <cell r="I25">
            <v>0</v>
          </cell>
          <cell r="K25">
            <v>140694400</v>
          </cell>
          <cell r="M25">
            <v>353754675</v>
          </cell>
        </row>
        <row r="26">
          <cell r="A26">
            <v>48197</v>
          </cell>
          <cell r="C26">
            <v>9249365.4499999993</v>
          </cell>
          <cell r="E26">
            <v>45974151.25</v>
          </cell>
          <cell r="G26">
            <v>156470634.55000001</v>
          </cell>
          <cell r="I26">
            <v>0</v>
          </cell>
          <cell r="K26">
            <v>211694151.25</v>
          </cell>
        </row>
        <row r="27">
          <cell r="A27">
            <v>48380</v>
          </cell>
          <cell r="C27">
            <v>3401631.2</v>
          </cell>
          <cell r="E27">
            <v>45873526.25</v>
          </cell>
          <cell r="G27">
            <v>92773368.799999997</v>
          </cell>
          <cell r="I27">
            <v>0</v>
          </cell>
          <cell r="K27">
            <v>142048526.25</v>
          </cell>
          <cell r="M27">
            <v>353742677.5</v>
          </cell>
        </row>
        <row r="28">
          <cell r="A28">
            <v>48563</v>
          </cell>
          <cell r="C28">
            <v>8868731.25</v>
          </cell>
          <cell r="E28">
            <v>45861401.25</v>
          </cell>
          <cell r="G28">
            <v>157046268.75</v>
          </cell>
          <cell r="I28">
            <v>0</v>
          </cell>
          <cell r="K28">
            <v>211776401.25</v>
          </cell>
        </row>
        <row r="29">
          <cell r="A29">
            <v>48745</v>
          </cell>
          <cell r="C29">
            <v>3130112.8</v>
          </cell>
          <cell r="E29">
            <v>45755901.25</v>
          </cell>
          <cell r="G29">
            <v>93094887.200000003</v>
          </cell>
          <cell r="I29">
            <v>0</v>
          </cell>
          <cell r="K29">
            <v>141980901.25</v>
          </cell>
          <cell r="M29">
            <v>353757302.5</v>
          </cell>
        </row>
        <row r="30">
          <cell r="A30">
            <v>48928</v>
          </cell>
          <cell r="C30">
            <v>8542775.0500000007</v>
          </cell>
          <cell r="E30">
            <v>45742526.25</v>
          </cell>
          <cell r="G30">
            <v>157557224.94999999</v>
          </cell>
          <cell r="I30">
            <v>0</v>
          </cell>
          <cell r="K30">
            <v>211842526.25</v>
          </cell>
        </row>
        <row r="31">
          <cell r="A31">
            <v>49110</v>
          </cell>
          <cell r="C31">
            <v>2889956.6</v>
          </cell>
          <cell r="E31">
            <v>45632401.25</v>
          </cell>
          <cell r="G31">
            <v>93380043.400000006</v>
          </cell>
          <cell r="I31">
            <v>0</v>
          </cell>
          <cell r="K31">
            <v>141902401.25</v>
          </cell>
          <cell r="M31">
            <v>353744927.5</v>
          </cell>
        </row>
        <row r="32">
          <cell r="A32">
            <v>49293</v>
          </cell>
          <cell r="C32">
            <v>8301795.1500000004</v>
          </cell>
          <cell r="E32">
            <v>45617901.25</v>
          </cell>
          <cell r="G32">
            <v>158013204.84999999</v>
          </cell>
          <cell r="I32">
            <v>0</v>
          </cell>
          <cell r="K32">
            <v>211932901.25</v>
          </cell>
        </row>
        <row r="33">
          <cell r="A33">
            <v>49475</v>
          </cell>
          <cell r="C33">
            <v>2685421.2</v>
          </cell>
          <cell r="E33">
            <v>45502401.25</v>
          </cell>
          <cell r="G33">
            <v>93634578.799999997</v>
          </cell>
          <cell r="I33">
            <v>0</v>
          </cell>
          <cell r="K33">
            <v>141822401.25</v>
          </cell>
          <cell r="M33">
            <v>353755302.5</v>
          </cell>
        </row>
        <row r="34">
          <cell r="A34">
            <v>49658</v>
          </cell>
          <cell r="C34">
            <v>16618870.300000001</v>
          </cell>
          <cell r="E34">
            <v>45486651.25</v>
          </cell>
          <cell r="G34">
            <v>164171129.69999999</v>
          </cell>
          <cell r="I34">
            <v>0</v>
          </cell>
          <cell r="K34">
            <v>226276651.25</v>
          </cell>
        </row>
        <row r="35">
          <cell r="A35">
            <v>49841</v>
          </cell>
          <cell r="C35">
            <v>12585084.300000001</v>
          </cell>
          <cell r="E35">
            <v>45371108.75</v>
          </cell>
          <cell r="G35">
            <v>98339915.700000003</v>
          </cell>
          <cell r="I35">
            <v>0</v>
          </cell>
          <cell r="K35">
            <v>156296108.75</v>
          </cell>
          <cell r="M35">
            <v>382572760</v>
          </cell>
        </row>
        <row r="36">
          <cell r="A36">
            <v>50024</v>
          </cell>
          <cell r="C36">
            <v>16084237.5</v>
          </cell>
          <cell r="E36">
            <v>45353983.75</v>
          </cell>
          <cell r="G36">
            <v>164935762.5</v>
          </cell>
          <cell r="I36">
            <v>0</v>
          </cell>
          <cell r="K36">
            <v>226373983.75</v>
          </cell>
        </row>
        <row r="37">
          <cell r="A37">
            <v>50206</v>
          </cell>
          <cell r="C37">
            <v>12113489.200000001</v>
          </cell>
          <cell r="E37">
            <v>45233188.75</v>
          </cell>
          <cell r="G37">
            <v>98851510.799999997</v>
          </cell>
          <cell r="I37">
            <v>0</v>
          </cell>
          <cell r="K37">
            <v>156198188.75</v>
          </cell>
          <cell r="M37">
            <v>382572172.5</v>
          </cell>
        </row>
        <row r="38">
          <cell r="A38">
            <v>50389</v>
          </cell>
          <cell r="C38">
            <v>15593772.15</v>
          </cell>
          <cell r="E38">
            <v>45214688.75</v>
          </cell>
          <cell r="G38">
            <v>165641227.84999999</v>
          </cell>
          <cell r="I38">
            <v>0</v>
          </cell>
          <cell r="K38">
            <v>226449688.75</v>
          </cell>
        </row>
        <row r="39">
          <cell r="A39">
            <v>50571</v>
          </cell>
          <cell r="C39">
            <v>11683898</v>
          </cell>
          <cell r="E39">
            <v>45088641.25</v>
          </cell>
          <cell r="G39">
            <v>99346102</v>
          </cell>
          <cell r="I39">
            <v>0</v>
          </cell>
          <cell r="K39">
            <v>156118641.25</v>
          </cell>
          <cell r="M39">
            <v>382568330</v>
          </cell>
        </row>
        <row r="40">
          <cell r="A40">
            <v>50754</v>
          </cell>
          <cell r="C40">
            <v>15116522.100000001</v>
          </cell>
          <cell r="E40">
            <v>45068641.25</v>
          </cell>
          <cell r="G40">
            <v>166353477.89999998</v>
          </cell>
          <cell r="I40">
            <v>0</v>
          </cell>
          <cell r="K40">
            <v>226538641.24999997</v>
          </cell>
        </row>
        <row r="41">
          <cell r="A41">
            <v>50936</v>
          </cell>
          <cell r="C41">
            <v>11282906.85</v>
          </cell>
          <cell r="E41">
            <v>44934002.5</v>
          </cell>
          <cell r="G41">
            <v>99817093.149999991</v>
          </cell>
          <cell r="I41">
            <v>0</v>
          </cell>
          <cell r="K41">
            <v>156034002.5</v>
          </cell>
          <cell r="M41">
            <v>382572643.75</v>
          </cell>
        </row>
        <row r="42">
          <cell r="A42">
            <v>51119</v>
          </cell>
          <cell r="C42">
            <v>14710901.649999999</v>
          </cell>
          <cell r="E42">
            <v>44912377.5</v>
          </cell>
          <cell r="G42">
            <v>166994098.35000002</v>
          </cell>
          <cell r="I42">
            <v>0</v>
          </cell>
          <cell r="K42">
            <v>226617377.50000003</v>
          </cell>
        </row>
        <row r="43">
          <cell r="A43">
            <v>51302</v>
          </cell>
          <cell r="C43">
            <v>10891510.299999999</v>
          </cell>
          <cell r="E43">
            <v>44771627.5</v>
          </cell>
          <cell r="G43">
            <v>100288489.7</v>
          </cell>
          <cell r="I43">
            <v>0</v>
          </cell>
          <cell r="K43">
            <v>155951627.5</v>
          </cell>
          <cell r="M43">
            <v>382569005</v>
          </cell>
        </row>
        <row r="44">
          <cell r="A44">
            <v>51485</v>
          </cell>
          <cell r="C44">
            <v>14347759.35</v>
          </cell>
          <cell r="E44">
            <v>44748377.5</v>
          </cell>
          <cell r="G44">
            <v>167632240.65000001</v>
          </cell>
          <cell r="I44">
            <v>0</v>
          </cell>
          <cell r="K44">
            <v>226728377.5</v>
          </cell>
        </row>
        <row r="45">
          <cell r="A45">
            <v>51667</v>
          </cell>
          <cell r="C45">
            <v>23296887.5</v>
          </cell>
          <cell r="E45">
            <v>44601148.75</v>
          </cell>
          <cell r="G45">
            <v>87942969.099999994</v>
          </cell>
          <cell r="I45">
            <v>0</v>
          </cell>
          <cell r="K45">
            <v>155841005.34999999</v>
          </cell>
          <cell r="M45">
            <v>382569382.85000002</v>
          </cell>
        </row>
        <row r="46">
          <cell r="A46">
            <v>51850</v>
          </cell>
          <cell r="C46">
            <v>146610181</v>
          </cell>
          <cell r="E46">
            <v>44577773.75</v>
          </cell>
          <cell r="G46">
            <v>39654819</v>
          </cell>
          <cell r="I46">
            <v>0</v>
          </cell>
          <cell r="K46">
            <v>230842773.75</v>
          </cell>
        </row>
        <row r="47">
          <cell r="A47">
            <v>52032</v>
          </cell>
          <cell r="C47">
            <v>109860000</v>
          </cell>
          <cell r="E47">
            <v>41869481.25</v>
          </cell>
          <cell r="G47">
            <v>0</v>
          </cell>
          <cell r="I47">
            <v>0</v>
          </cell>
          <cell r="K47">
            <v>151729481.25</v>
          </cell>
          <cell r="M47">
            <v>382572255</v>
          </cell>
        </row>
        <row r="48">
          <cell r="A48">
            <v>52215</v>
          </cell>
          <cell r="C48">
            <v>34993967.5</v>
          </cell>
          <cell r="E48">
            <v>39344731.25</v>
          </cell>
          <cell r="G48">
            <v>2206032.5</v>
          </cell>
          <cell r="I48">
            <v>0</v>
          </cell>
          <cell r="K48">
            <v>76544731.25</v>
          </cell>
        </row>
        <row r="49">
          <cell r="A49">
            <v>52397</v>
          </cell>
          <cell r="C49">
            <v>36068329.5</v>
          </cell>
          <cell r="E49">
            <v>38557750</v>
          </cell>
          <cell r="G49">
            <v>231401670.5</v>
          </cell>
          <cell r="I49">
            <v>0</v>
          </cell>
          <cell r="K49">
            <v>306027750</v>
          </cell>
          <cell r="M49">
            <v>382572481.25</v>
          </cell>
        </row>
        <row r="50">
          <cell r="A50">
            <v>52580</v>
          </cell>
          <cell r="C50">
            <v>36458537.600000001</v>
          </cell>
          <cell r="E50">
            <v>38557750</v>
          </cell>
          <cell r="G50">
            <v>2351462.3999999999</v>
          </cell>
          <cell r="I50">
            <v>0</v>
          </cell>
          <cell r="K50">
            <v>77367750</v>
          </cell>
        </row>
        <row r="51">
          <cell r="A51">
            <v>52763</v>
          </cell>
          <cell r="C51">
            <v>33701220</v>
          </cell>
          <cell r="E51">
            <v>37733965</v>
          </cell>
          <cell r="G51">
            <v>233768780</v>
          </cell>
          <cell r="I51">
            <v>0</v>
          </cell>
          <cell r="K51">
            <v>305203965</v>
          </cell>
          <cell r="M51">
            <v>382571715</v>
          </cell>
        </row>
        <row r="52">
          <cell r="A52">
            <v>52946</v>
          </cell>
          <cell r="C52">
            <v>38027577.600000001</v>
          </cell>
          <cell r="E52">
            <v>37733965</v>
          </cell>
          <cell r="G52">
            <v>2472422.3999999999</v>
          </cell>
          <cell r="I52">
            <v>0</v>
          </cell>
          <cell r="K52">
            <v>78233965</v>
          </cell>
        </row>
        <row r="53">
          <cell r="A53">
            <v>53128</v>
          </cell>
          <cell r="C53">
            <v>31689253.199999999</v>
          </cell>
          <cell r="E53">
            <v>36873917.5</v>
          </cell>
          <cell r="G53">
            <v>235775746.80000001</v>
          </cell>
          <cell r="I53">
            <v>0</v>
          </cell>
          <cell r="K53">
            <v>304338917.5</v>
          </cell>
          <cell r="M53">
            <v>382572882.5</v>
          </cell>
        </row>
        <row r="54">
          <cell r="A54">
            <v>53311</v>
          </cell>
          <cell r="C54">
            <v>39654198.399999999</v>
          </cell>
          <cell r="E54">
            <v>36873917.5</v>
          </cell>
          <cell r="G54">
            <v>2595801.6</v>
          </cell>
          <cell r="I54">
            <v>0</v>
          </cell>
          <cell r="K54">
            <v>79123917.5</v>
          </cell>
        </row>
        <row r="55">
          <cell r="A55">
            <v>53493</v>
          </cell>
          <cell r="C55">
            <v>29798832.699999999</v>
          </cell>
          <cell r="E55">
            <v>35976358.75</v>
          </cell>
          <cell r="G55">
            <v>237671167.30000001</v>
          </cell>
          <cell r="I55">
            <v>0</v>
          </cell>
          <cell r="K55">
            <v>303446358.75</v>
          </cell>
          <cell r="M55">
            <v>382570276.25</v>
          </cell>
        </row>
        <row r="56">
          <cell r="A56">
            <v>53676</v>
          </cell>
          <cell r="C56">
            <v>96611142.400000006</v>
          </cell>
          <cell r="E56">
            <v>35976358.75</v>
          </cell>
          <cell r="G56">
            <v>2728857.6000000001</v>
          </cell>
          <cell r="I56">
            <v>0</v>
          </cell>
          <cell r="K56">
            <v>135316358.75</v>
          </cell>
        </row>
        <row r="57">
          <cell r="A57">
            <v>53858</v>
          </cell>
          <cell r="C57">
            <v>22376212.199999999</v>
          </cell>
          <cell r="E57">
            <v>33658043.75</v>
          </cell>
          <cell r="G57">
            <v>191218787.80000001</v>
          </cell>
          <cell r="I57">
            <v>0</v>
          </cell>
          <cell r="K57">
            <v>247253043.75</v>
          </cell>
          <cell r="M57">
            <v>382569402.5</v>
          </cell>
        </row>
        <row r="58">
          <cell r="A58">
            <v>54041</v>
          </cell>
          <cell r="C58">
            <v>195348248</v>
          </cell>
          <cell r="E58">
            <v>33658043.75</v>
          </cell>
          <cell r="G58">
            <v>2866752</v>
          </cell>
          <cell r="I58">
            <v>0</v>
          </cell>
          <cell r="K58">
            <v>231873043.75</v>
          </cell>
        </row>
        <row r="59">
          <cell r="A59">
            <v>54224</v>
          </cell>
          <cell r="C59">
            <v>121875000</v>
          </cell>
          <cell r="E59">
            <v>28824225</v>
          </cell>
          <cell r="G59">
            <v>0</v>
          </cell>
          <cell r="I59">
            <v>0</v>
          </cell>
          <cell r="K59">
            <v>150699225</v>
          </cell>
          <cell r="M59">
            <v>382572268.75</v>
          </cell>
        </row>
        <row r="60">
          <cell r="A60">
            <v>54407</v>
          </cell>
          <cell r="C60">
            <v>205370000</v>
          </cell>
          <cell r="E60">
            <v>26200875</v>
          </cell>
          <cell r="G60">
            <v>0</v>
          </cell>
          <cell r="I60">
            <v>0</v>
          </cell>
          <cell r="K60">
            <v>231570875</v>
          </cell>
        </row>
        <row r="61">
          <cell r="A61">
            <v>54589</v>
          </cell>
          <cell r="C61">
            <v>124339595.3</v>
          </cell>
          <cell r="E61">
            <v>21777300</v>
          </cell>
          <cell r="G61">
            <v>4883964</v>
          </cell>
          <cell r="I61">
            <v>0</v>
          </cell>
          <cell r="K61">
            <v>151000859.30000001</v>
          </cell>
          <cell r="M61">
            <v>382571734.30000001</v>
          </cell>
        </row>
        <row r="62">
          <cell r="A62">
            <v>54772</v>
          </cell>
          <cell r="C62">
            <v>168226263.55000001</v>
          </cell>
          <cell r="E62">
            <v>19128375</v>
          </cell>
          <cell r="G62">
            <v>43898910.299999997</v>
          </cell>
          <cell r="I62">
            <v>0</v>
          </cell>
          <cell r="K62">
            <v>231253548.85000002</v>
          </cell>
        </row>
        <row r="63">
          <cell r="A63">
            <v>54954</v>
          </cell>
          <cell r="C63">
            <v>135605000</v>
          </cell>
          <cell r="E63">
            <v>15712350</v>
          </cell>
          <cell r="G63">
            <v>0</v>
          </cell>
          <cell r="I63">
            <v>0</v>
          </cell>
          <cell r="K63">
            <v>151317350</v>
          </cell>
          <cell r="M63">
            <v>382570898.85000002</v>
          </cell>
        </row>
        <row r="64">
          <cell r="A64">
            <v>55137</v>
          </cell>
          <cell r="C64">
            <v>47170714.299999997</v>
          </cell>
          <cell r="E64">
            <v>12820250</v>
          </cell>
          <cell r="G64">
            <v>170938578.30000001</v>
          </cell>
          <cell r="I64">
            <v>0</v>
          </cell>
          <cell r="K64">
            <v>230929542.60000002</v>
          </cell>
        </row>
        <row r="65">
          <cell r="A65">
            <v>55319</v>
          </cell>
          <cell r="C65">
            <v>28148139.350000001</v>
          </cell>
          <cell r="E65">
            <v>12309875</v>
          </cell>
          <cell r="G65">
            <v>111183089.55</v>
          </cell>
          <cell r="I65">
            <v>0</v>
          </cell>
          <cell r="K65">
            <v>151641103.90000001</v>
          </cell>
          <cell r="M65">
            <v>382570646.5</v>
          </cell>
        </row>
        <row r="66">
          <cell r="A66">
            <v>55502</v>
          </cell>
          <cell r="C66">
            <v>68323118.25</v>
          </cell>
          <cell r="E66">
            <v>12017525</v>
          </cell>
          <cell r="G66">
            <v>150258121.25</v>
          </cell>
          <cell r="I66">
            <v>0</v>
          </cell>
          <cell r="K66">
            <v>230598764.5</v>
          </cell>
        </row>
        <row r="67">
          <cell r="A67">
            <v>55685</v>
          </cell>
          <cell r="C67">
            <v>140970000</v>
          </cell>
          <cell r="E67">
            <v>11003850</v>
          </cell>
          <cell r="G67">
            <v>0</v>
          </cell>
          <cell r="I67">
            <v>0</v>
          </cell>
          <cell r="K67">
            <v>151973850</v>
          </cell>
          <cell r="M67">
            <v>382572614.5</v>
          </cell>
        </row>
        <row r="68">
          <cell r="A68">
            <v>55868</v>
          </cell>
          <cell r="C68">
            <v>24777137.699999999</v>
          </cell>
          <cell r="E68">
            <v>8175750</v>
          </cell>
          <cell r="G68">
            <v>176794160.5</v>
          </cell>
          <cell r="I68">
            <v>0</v>
          </cell>
          <cell r="K68">
            <v>209747048.19999999</v>
          </cell>
        </row>
        <row r="69">
          <cell r="A69">
            <v>56050</v>
          </cell>
          <cell r="C69">
            <v>129335000</v>
          </cell>
          <cell r="E69">
            <v>8158500</v>
          </cell>
          <cell r="G69">
            <v>0</v>
          </cell>
          <cell r="I69">
            <v>0</v>
          </cell>
          <cell r="K69">
            <v>137493500</v>
          </cell>
          <cell r="M69">
            <v>347240548.19999999</v>
          </cell>
        </row>
        <row r="70">
          <cell r="A70">
            <v>56233</v>
          </cell>
          <cell r="C70">
            <v>32548480.649999999</v>
          </cell>
          <cell r="E70">
            <v>4750125</v>
          </cell>
          <cell r="G70">
            <v>177986684.5</v>
          </cell>
          <cell r="I70">
            <v>0</v>
          </cell>
          <cell r="K70">
            <v>215285290.15000001</v>
          </cell>
        </row>
        <row r="71">
          <cell r="A71">
            <v>56415</v>
          </cell>
          <cell r="C71">
            <v>36149432</v>
          </cell>
          <cell r="E71">
            <v>4750125</v>
          </cell>
          <cell r="G71">
            <v>91058660</v>
          </cell>
          <cell r="I71">
            <v>0</v>
          </cell>
          <cell r="K71">
            <v>131958217</v>
          </cell>
          <cell r="M71">
            <v>347243507.14999998</v>
          </cell>
        </row>
        <row r="72">
          <cell r="A72">
            <v>56598</v>
          </cell>
          <cell r="C72">
            <v>30978571.5</v>
          </cell>
          <cell r="E72">
            <v>4250125</v>
          </cell>
          <cell r="G72">
            <v>180062062</v>
          </cell>
          <cell r="I72">
            <v>0</v>
          </cell>
          <cell r="K72">
            <v>215290758.5</v>
          </cell>
        </row>
        <row r="73">
          <cell r="A73">
            <v>56780</v>
          </cell>
          <cell r="C73">
            <v>35404535.299999997</v>
          </cell>
          <cell r="E73">
            <v>4250125</v>
          </cell>
          <cell r="G73">
            <v>92299160.799999997</v>
          </cell>
          <cell r="I73">
            <v>0</v>
          </cell>
          <cell r="K73">
            <v>131953821.09999999</v>
          </cell>
          <cell r="M73">
            <v>347244579.60000002</v>
          </cell>
        </row>
        <row r="74">
          <cell r="A74">
            <v>56963</v>
          </cell>
          <cell r="C74">
            <v>42944037.049999997</v>
          </cell>
          <cell r="E74">
            <v>3750125</v>
          </cell>
          <cell r="G74">
            <v>141683286.59999999</v>
          </cell>
          <cell r="I74">
            <v>0</v>
          </cell>
          <cell r="K74">
            <v>188377448.64999998</v>
          </cell>
        </row>
        <row r="75">
          <cell r="A75">
            <v>57146</v>
          </cell>
          <cell r="C75">
            <v>26618429.75</v>
          </cell>
          <cell r="E75">
            <v>3250125</v>
          </cell>
          <cell r="G75">
            <v>128994700</v>
          </cell>
          <cell r="I75">
            <v>0</v>
          </cell>
          <cell r="K75">
            <v>158863254.75</v>
          </cell>
          <cell r="M75">
            <v>347240703.39999998</v>
          </cell>
        </row>
        <row r="76">
          <cell r="A76">
            <v>57329</v>
          </cell>
          <cell r="C76">
            <v>36621670.25</v>
          </cell>
          <cell r="E76">
            <v>3250125</v>
          </cell>
          <cell r="G76">
            <v>175418329.75</v>
          </cell>
          <cell r="I76">
            <v>0</v>
          </cell>
          <cell r="K76">
            <v>215290125</v>
          </cell>
        </row>
        <row r="77">
          <cell r="A77">
            <v>57511</v>
          </cell>
          <cell r="C77">
            <v>128740000</v>
          </cell>
          <cell r="E77">
            <v>3218500</v>
          </cell>
          <cell r="G77">
            <v>0</v>
          </cell>
          <cell r="I77">
            <v>0</v>
          </cell>
          <cell r="K77">
            <v>131958500</v>
          </cell>
          <cell r="M77">
            <v>347248625</v>
          </cell>
        </row>
        <row r="78">
          <cell r="A78">
            <v>57694</v>
          </cell>
          <cell r="C78">
            <v>0</v>
          </cell>
          <cell r="E78">
            <v>0</v>
          </cell>
          <cell r="G78">
            <v>0</v>
          </cell>
          <cell r="I78">
            <v>0</v>
          </cell>
          <cell r="K78">
            <v>0</v>
          </cell>
        </row>
        <row r="79">
          <cell r="A79">
            <v>57876</v>
          </cell>
          <cell r="C79">
            <v>0</v>
          </cell>
          <cell r="E79">
            <v>0</v>
          </cell>
          <cell r="G79">
            <v>0</v>
          </cell>
          <cell r="I79">
            <v>0</v>
          </cell>
          <cell r="K79">
            <v>0</v>
          </cell>
          <cell r="M79">
            <v>0</v>
          </cell>
        </row>
        <row r="80">
          <cell r="A80">
            <v>58059</v>
          </cell>
          <cell r="C80">
            <v>0</v>
          </cell>
          <cell r="E80">
            <v>0</v>
          </cell>
          <cell r="G80">
            <v>0</v>
          </cell>
          <cell r="I80">
            <v>0</v>
          </cell>
          <cell r="K80">
            <v>0</v>
          </cell>
        </row>
        <row r="81">
          <cell r="A81">
            <v>58241</v>
          </cell>
          <cell r="C81">
            <v>0</v>
          </cell>
          <cell r="E81">
            <v>0</v>
          </cell>
          <cell r="G81">
            <v>0</v>
          </cell>
          <cell r="I81">
            <v>0</v>
          </cell>
          <cell r="K81">
            <v>0</v>
          </cell>
          <cell r="M81">
            <v>0</v>
          </cell>
        </row>
        <row r="82">
          <cell r="A82">
            <v>58424</v>
          </cell>
          <cell r="C82">
            <v>0</v>
          </cell>
          <cell r="E82">
            <v>0</v>
          </cell>
          <cell r="G82">
            <v>0</v>
          </cell>
          <cell r="I82">
            <v>0</v>
          </cell>
          <cell r="K82">
            <v>0</v>
          </cell>
        </row>
        <row r="83">
          <cell r="A83">
            <v>58607</v>
          </cell>
          <cell r="C83">
            <v>0</v>
          </cell>
          <cell r="E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</row>
        <row r="84">
          <cell r="A84">
            <v>58790</v>
          </cell>
          <cell r="C84">
            <v>0</v>
          </cell>
          <cell r="E84">
            <v>0</v>
          </cell>
          <cell r="G84">
            <v>0</v>
          </cell>
          <cell r="I84">
            <v>0</v>
          </cell>
          <cell r="K84">
            <v>0</v>
          </cell>
        </row>
        <row r="87">
          <cell r="A87" t="str">
            <v>Totals</v>
          </cell>
          <cell r="C87">
            <v>3108221032.650001</v>
          </cell>
          <cell r="E87">
            <v>2382685008.4533334</v>
          </cell>
          <cell r="G87">
            <v>6415688656.4500017</v>
          </cell>
          <cell r="I87">
            <v>-1907027.0833333333</v>
          </cell>
          <cell r="K87">
            <v>11904687670.470001</v>
          </cell>
          <cell r="M87">
            <v>11904687670.470001</v>
          </cell>
        </row>
        <row r="90">
          <cell r="A90">
            <v>45357.726575578701</v>
          </cell>
        </row>
      </sheetData>
      <sheetData sheetId="7" refreshError="1"/>
      <sheetData sheetId="8">
        <row r="5">
          <cell r="H5" t="str">
            <v>METROPOLITAN PIER AND EXPOSITION AUTHORITY</v>
          </cell>
        </row>
        <row r="6">
          <cell r="H6" t="str">
            <v>Outstanding Debt Service by Series</v>
          </cell>
        </row>
        <row r="7">
          <cell r="H7" t="str">
            <v>Aggregate Debt Service</v>
          </cell>
        </row>
        <row r="9">
          <cell r="H9" t="str">
            <v>Payment</v>
          </cell>
          <cell r="K9" t="str">
            <v>Compounded</v>
          </cell>
          <cell r="L9" t="str">
            <v xml:space="preserve">Capitalized </v>
          </cell>
          <cell r="M9" t="str">
            <v>Debt</v>
          </cell>
        </row>
        <row r="10">
          <cell r="H10" t="str">
            <v>Date</v>
          </cell>
          <cell r="I10" t="str">
            <v>Principal</v>
          </cell>
          <cell r="J10" t="str">
            <v>Interest</v>
          </cell>
          <cell r="K10" t="str">
            <v>Interest</v>
          </cell>
          <cell r="L10" t="str">
            <v>Interest</v>
          </cell>
          <cell r="M10" t="str">
            <v>Service</v>
          </cell>
        </row>
        <row r="12">
          <cell r="H12">
            <v>45275</v>
          </cell>
        </row>
        <row r="13">
          <cell r="H13">
            <v>45458</v>
          </cell>
          <cell r="I13">
            <v>49297079.000000007</v>
          </cell>
          <cell r="J13">
            <v>104109114.74333334</v>
          </cell>
          <cell r="K13">
            <v>61692920.999999993</v>
          </cell>
          <cell r="L13">
            <v>-1907027.0833333333</v>
          </cell>
          <cell r="M13">
            <v>213192087.66</v>
          </cell>
        </row>
        <row r="14">
          <cell r="H14">
            <v>45641</v>
          </cell>
        </row>
        <row r="15">
          <cell r="H15">
            <v>45823</v>
          </cell>
          <cell r="I15">
            <v>49566683.149999999</v>
          </cell>
          <cell r="J15">
            <v>103729000.16000001</v>
          </cell>
          <cell r="K15">
            <v>109418316.85000001</v>
          </cell>
          <cell r="L15">
            <v>0</v>
          </cell>
          <cell r="M15">
            <v>262714000.16000003</v>
          </cell>
        </row>
        <row r="16">
          <cell r="H16">
            <v>46006</v>
          </cell>
        </row>
        <row r="17">
          <cell r="H17">
            <v>46188</v>
          </cell>
          <cell r="I17">
            <v>47164372.600000001</v>
          </cell>
          <cell r="J17">
            <v>102276487.66000001</v>
          </cell>
          <cell r="K17">
            <v>93500627.400000006</v>
          </cell>
          <cell r="L17">
            <v>0</v>
          </cell>
          <cell r="M17">
            <v>242941487.66000003</v>
          </cell>
        </row>
        <row r="18">
          <cell r="H18">
            <v>46371</v>
          </cell>
        </row>
        <row r="19">
          <cell r="H19">
            <v>46553</v>
          </cell>
          <cell r="I19">
            <v>95798847.600000009</v>
          </cell>
          <cell r="J19">
            <v>100168899.03</v>
          </cell>
          <cell r="K19">
            <v>81366152.400000006</v>
          </cell>
          <cell r="L19">
            <v>0</v>
          </cell>
          <cell r="M19">
            <v>277333899.02999997</v>
          </cell>
        </row>
        <row r="20">
          <cell r="H20">
            <v>46736</v>
          </cell>
        </row>
        <row r="21">
          <cell r="H21">
            <v>46919</v>
          </cell>
          <cell r="I21">
            <v>106932687.3</v>
          </cell>
          <cell r="J21">
            <v>96166182.280000001</v>
          </cell>
          <cell r="K21">
            <v>83087312.700000003</v>
          </cell>
          <cell r="L21">
            <v>0</v>
          </cell>
          <cell r="M21">
            <v>286186182.27999997</v>
          </cell>
        </row>
        <row r="22">
          <cell r="H22">
            <v>47102</v>
          </cell>
        </row>
        <row r="23">
          <cell r="H23">
            <v>47284</v>
          </cell>
          <cell r="I23">
            <v>96420321.299999997</v>
          </cell>
          <cell r="J23">
            <v>91745145.829999998</v>
          </cell>
          <cell r="K23">
            <v>83719678.700000003</v>
          </cell>
          <cell r="L23">
            <v>0</v>
          </cell>
          <cell r="M23">
            <v>271885145.82999998</v>
          </cell>
        </row>
        <row r="24">
          <cell r="H24">
            <v>47467</v>
          </cell>
        </row>
        <row r="25">
          <cell r="H25">
            <v>47649</v>
          </cell>
          <cell r="I25">
            <v>10081634.65</v>
          </cell>
          <cell r="J25">
            <v>89460550</v>
          </cell>
          <cell r="K25">
            <v>242208365.34999999</v>
          </cell>
          <cell r="L25">
            <v>0</v>
          </cell>
          <cell r="M25">
            <v>341750550</v>
          </cell>
        </row>
        <row r="26">
          <cell r="H26">
            <v>47832</v>
          </cell>
        </row>
        <row r="27">
          <cell r="H27">
            <v>48014</v>
          </cell>
          <cell r="I27">
            <v>16220954.1</v>
          </cell>
          <cell r="J27">
            <v>89294675</v>
          </cell>
          <cell r="K27">
            <v>248239045.90000001</v>
          </cell>
          <cell r="L27">
            <v>0</v>
          </cell>
          <cell r="M27">
            <v>353754675</v>
          </cell>
        </row>
        <row r="28">
          <cell r="H28">
            <v>48197</v>
          </cell>
        </row>
        <row r="29">
          <cell r="H29">
            <v>48380</v>
          </cell>
          <cell r="I29">
            <v>12650996.649999999</v>
          </cell>
          <cell r="J29">
            <v>91847677.5</v>
          </cell>
          <cell r="K29">
            <v>249244003.35000002</v>
          </cell>
          <cell r="L29">
            <v>0</v>
          </cell>
          <cell r="M29">
            <v>353742677.5</v>
          </cell>
        </row>
        <row r="30">
          <cell r="H30">
            <v>48563</v>
          </cell>
        </row>
        <row r="31">
          <cell r="H31">
            <v>48745</v>
          </cell>
          <cell r="I31">
            <v>11998844.050000001</v>
          </cell>
          <cell r="J31">
            <v>91617302.5</v>
          </cell>
          <cell r="K31">
            <v>250141155.94999999</v>
          </cell>
          <cell r="L31">
            <v>0</v>
          </cell>
          <cell r="M31">
            <v>353757302.5</v>
          </cell>
        </row>
        <row r="32">
          <cell r="H32">
            <v>48928</v>
          </cell>
        </row>
        <row r="33">
          <cell r="H33">
            <v>49110</v>
          </cell>
          <cell r="I33">
            <v>11432731.65</v>
          </cell>
          <cell r="J33">
            <v>91374927.5</v>
          </cell>
          <cell r="K33">
            <v>250937268.34999999</v>
          </cell>
          <cell r="L33">
            <v>0</v>
          </cell>
          <cell r="M33">
            <v>353744927.5</v>
          </cell>
        </row>
        <row r="34">
          <cell r="H34">
            <v>49293</v>
          </cell>
        </row>
        <row r="35">
          <cell r="H35">
            <v>49475</v>
          </cell>
          <cell r="I35">
            <v>10987216.35</v>
          </cell>
          <cell r="J35">
            <v>91120302.5</v>
          </cell>
          <cell r="K35">
            <v>251647783.64999998</v>
          </cell>
          <cell r="L35">
            <v>0</v>
          </cell>
          <cell r="M35">
            <v>353755302.5</v>
          </cell>
        </row>
        <row r="36">
          <cell r="H36">
            <v>49658</v>
          </cell>
        </row>
        <row r="37">
          <cell r="H37">
            <v>49841</v>
          </cell>
          <cell r="I37">
            <v>29203954.599999998</v>
          </cell>
          <cell r="J37">
            <v>90857760</v>
          </cell>
          <cell r="K37">
            <v>262511045.39999998</v>
          </cell>
          <cell r="L37">
            <v>0</v>
          </cell>
          <cell r="M37">
            <v>382572760</v>
          </cell>
        </row>
        <row r="38">
          <cell r="H38">
            <v>50024</v>
          </cell>
        </row>
        <row r="39">
          <cell r="H39">
            <v>50206</v>
          </cell>
          <cell r="I39">
            <v>28197726.700000003</v>
          </cell>
          <cell r="J39">
            <v>90587172.5</v>
          </cell>
          <cell r="K39">
            <v>263787273.30000001</v>
          </cell>
          <cell r="L39">
            <v>0</v>
          </cell>
          <cell r="M39">
            <v>382572172.5</v>
          </cell>
        </row>
        <row r="40">
          <cell r="H40">
            <v>50389</v>
          </cell>
        </row>
        <row r="41">
          <cell r="H41">
            <v>50571</v>
          </cell>
          <cell r="I41">
            <v>27277670.150000002</v>
          </cell>
          <cell r="J41">
            <v>90303330</v>
          </cell>
          <cell r="K41">
            <v>264987329.84999999</v>
          </cell>
          <cell r="L41">
            <v>0</v>
          </cell>
          <cell r="M41">
            <v>382568330</v>
          </cell>
        </row>
        <row r="42">
          <cell r="H42">
            <v>50754</v>
          </cell>
        </row>
        <row r="43">
          <cell r="H43">
            <v>50936</v>
          </cell>
          <cell r="I43">
            <v>26399428.949999999</v>
          </cell>
          <cell r="J43">
            <v>90002643.75</v>
          </cell>
          <cell r="K43">
            <v>266170571.05000001</v>
          </cell>
          <cell r="L43">
            <v>0</v>
          </cell>
          <cell r="M43">
            <v>382572643.75</v>
          </cell>
        </row>
        <row r="44">
          <cell r="H44">
            <v>51119</v>
          </cell>
        </row>
        <row r="45">
          <cell r="H45">
            <v>51302</v>
          </cell>
          <cell r="I45">
            <v>25602411.949999999</v>
          </cell>
          <cell r="J45">
            <v>89684005</v>
          </cell>
          <cell r="K45">
            <v>267282588.05000001</v>
          </cell>
          <cell r="L45">
            <v>0</v>
          </cell>
          <cell r="M45">
            <v>382569005</v>
          </cell>
        </row>
        <row r="46">
          <cell r="H46">
            <v>51485</v>
          </cell>
        </row>
        <row r="47">
          <cell r="H47">
            <v>51667</v>
          </cell>
          <cell r="I47">
            <v>37644646.850000001</v>
          </cell>
          <cell r="J47">
            <v>89349526.25</v>
          </cell>
          <cell r="K47">
            <v>255575209.75</v>
          </cell>
          <cell r="L47">
            <v>0</v>
          </cell>
          <cell r="M47">
            <v>382569382.85000002</v>
          </cell>
        </row>
        <row r="48">
          <cell r="H48">
            <v>51850</v>
          </cell>
        </row>
        <row r="49">
          <cell r="H49">
            <v>52032</v>
          </cell>
          <cell r="I49">
            <v>256470181</v>
          </cell>
          <cell r="J49">
            <v>86447255</v>
          </cell>
          <cell r="K49">
            <v>39654819</v>
          </cell>
          <cell r="L49">
            <v>0</v>
          </cell>
          <cell r="M49">
            <v>382572255</v>
          </cell>
        </row>
        <row r="50">
          <cell r="H50">
            <v>52215</v>
          </cell>
        </row>
        <row r="51">
          <cell r="H51">
            <v>52397</v>
          </cell>
          <cell r="I51">
            <v>71062297</v>
          </cell>
          <cell r="J51">
            <v>77902481.25</v>
          </cell>
          <cell r="K51">
            <v>233607703</v>
          </cell>
          <cell r="L51">
            <v>0</v>
          </cell>
          <cell r="M51">
            <v>382572481.25</v>
          </cell>
        </row>
        <row r="52">
          <cell r="H52">
            <v>52580</v>
          </cell>
        </row>
        <row r="53">
          <cell r="H53">
            <v>52763</v>
          </cell>
          <cell r="I53">
            <v>70159757.599999994</v>
          </cell>
          <cell r="J53">
            <v>76291715</v>
          </cell>
          <cell r="K53">
            <v>236120242.40000001</v>
          </cell>
          <cell r="L53">
            <v>0</v>
          </cell>
          <cell r="M53">
            <v>382571715</v>
          </cell>
        </row>
        <row r="54">
          <cell r="H54">
            <v>52946</v>
          </cell>
        </row>
        <row r="55">
          <cell r="H55">
            <v>53128</v>
          </cell>
          <cell r="I55">
            <v>69716830.799999997</v>
          </cell>
          <cell r="J55">
            <v>74607882.5</v>
          </cell>
          <cell r="K55">
            <v>238248169.20000002</v>
          </cell>
          <cell r="L55">
            <v>0</v>
          </cell>
          <cell r="M55">
            <v>382572882.5</v>
          </cell>
        </row>
        <row r="56">
          <cell r="H56">
            <v>53311</v>
          </cell>
        </row>
        <row r="57">
          <cell r="H57">
            <v>53493</v>
          </cell>
          <cell r="I57">
            <v>69453031.099999994</v>
          </cell>
          <cell r="J57">
            <v>72850276.25</v>
          </cell>
          <cell r="K57">
            <v>240266968.90000001</v>
          </cell>
          <cell r="L57">
            <v>0</v>
          </cell>
          <cell r="M57">
            <v>382570276.25</v>
          </cell>
        </row>
        <row r="58">
          <cell r="H58">
            <v>53676</v>
          </cell>
        </row>
        <row r="59">
          <cell r="H59">
            <v>53858</v>
          </cell>
          <cell r="I59">
            <v>118987354.60000001</v>
          </cell>
          <cell r="J59">
            <v>69634402.5</v>
          </cell>
          <cell r="K59">
            <v>193947645.40000001</v>
          </cell>
          <cell r="L59">
            <v>0</v>
          </cell>
          <cell r="M59">
            <v>382569402.5</v>
          </cell>
        </row>
        <row r="60">
          <cell r="H60">
            <v>54041</v>
          </cell>
        </row>
        <row r="61">
          <cell r="H61">
            <v>54224</v>
          </cell>
          <cell r="I61">
            <v>317223248</v>
          </cell>
          <cell r="J61">
            <v>62482268.75</v>
          </cell>
          <cell r="K61">
            <v>2866752</v>
          </cell>
          <cell r="L61">
            <v>0</v>
          </cell>
          <cell r="M61">
            <v>382572268.75</v>
          </cell>
        </row>
        <row r="62">
          <cell r="H62">
            <v>54407</v>
          </cell>
        </row>
        <row r="63">
          <cell r="H63">
            <v>54589</v>
          </cell>
          <cell r="I63">
            <v>329709595.30000001</v>
          </cell>
          <cell r="J63">
            <v>47978175</v>
          </cell>
          <cell r="K63">
            <v>4883964</v>
          </cell>
          <cell r="L63">
            <v>0</v>
          </cell>
          <cell r="M63">
            <v>382571734.30000001</v>
          </cell>
        </row>
        <row r="64">
          <cell r="H64">
            <v>54772</v>
          </cell>
        </row>
        <row r="65">
          <cell r="H65">
            <v>54954</v>
          </cell>
          <cell r="I65">
            <v>303831263.55000001</v>
          </cell>
          <cell r="J65">
            <v>34840725</v>
          </cell>
          <cell r="K65">
            <v>43898910.299999997</v>
          </cell>
          <cell r="L65">
            <v>0</v>
          </cell>
          <cell r="M65">
            <v>382570898.85000002</v>
          </cell>
        </row>
        <row r="66">
          <cell r="H66">
            <v>55137</v>
          </cell>
        </row>
        <row r="67">
          <cell r="H67">
            <v>55319</v>
          </cell>
          <cell r="I67">
            <v>75318853.649999991</v>
          </cell>
          <cell r="J67">
            <v>25130125</v>
          </cell>
          <cell r="K67">
            <v>282121667.85000002</v>
          </cell>
          <cell r="L67">
            <v>0</v>
          </cell>
          <cell r="M67">
            <v>382570646.5</v>
          </cell>
        </row>
        <row r="68">
          <cell r="H68">
            <v>55502</v>
          </cell>
        </row>
        <row r="69">
          <cell r="H69">
            <v>55685</v>
          </cell>
          <cell r="I69">
            <v>209293118.25</v>
          </cell>
          <cell r="J69">
            <v>23021375</v>
          </cell>
          <cell r="K69">
            <v>150258121.25</v>
          </cell>
          <cell r="L69">
            <v>0</v>
          </cell>
          <cell r="M69">
            <v>382572614.5</v>
          </cell>
        </row>
        <row r="70">
          <cell r="H70">
            <v>55868</v>
          </cell>
        </row>
        <row r="71">
          <cell r="H71">
            <v>56050</v>
          </cell>
          <cell r="I71">
            <v>154112137.69999999</v>
          </cell>
          <cell r="J71">
            <v>16334250</v>
          </cell>
          <cell r="K71">
            <v>176794160.5</v>
          </cell>
          <cell r="L71">
            <v>0</v>
          </cell>
          <cell r="M71">
            <v>347240548.19999999</v>
          </cell>
        </row>
        <row r="72">
          <cell r="H72">
            <v>56233</v>
          </cell>
        </row>
        <row r="73">
          <cell r="H73">
            <v>56415</v>
          </cell>
          <cell r="I73">
            <v>68697912.650000006</v>
          </cell>
          <cell r="J73">
            <v>9500250</v>
          </cell>
          <cell r="K73">
            <v>269045344.5</v>
          </cell>
          <cell r="L73">
            <v>0</v>
          </cell>
          <cell r="M73">
            <v>347243507.14999998</v>
          </cell>
        </row>
        <row r="74">
          <cell r="H74">
            <v>56598</v>
          </cell>
        </row>
        <row r="75">
          <cell r="H75">
            <v>56780</v>
          </cell>
          <cell r="I75">
            <v>66383106.799999997</v>
          </cell>
          <cell r="J75">
            <v>8500250</v>
          </cell>
          <cell r="K75">
            <v>272361222.80000001</v>
          </cell>
          <cell r="L75">
            <v>0</v>
          </cell>
          <cell r="M75">
            <v>347244579.60000002</v>
          </cell>
        </row>
        <row r="76">
          <cell r="H76">
            <v>56963</v>
          </cell>
        </row>
        <row r="77">
          <cell r="H77">
            <v>57146</v>
          </cell>
          <cell r="I77">
            <v>69562466.799999997</v>
          </cell>
          <cell r="J77">
            <v>7000250</v>
          </cell>
          <cell r="K77">
            <v>270677986.60000002</v>
          </cell>
          <cell r="L77">
            <v>0</v>
          </cell>
          <cell r="M77">
            <v>347240703.40000004</v>
          </cell>
        </row>
        <row r="78">
          <cell r="H78">
            <v>57329</v>
          </cell>
        </row>
        <row r="79">
          <cell r="H79">
            <v>57511</v>
          </cell>
          <cell r="I79">
            <v>165361670.25</v>
          </cell>
          <cell r="J79">
            <v>6468625</v>
          </cell>
          <cell r="K79">
            <v>175418329.75</v>
          </cell>
          <cell r="L79">
            <v>0</v>
          </cell>
          <cell r="M79">
            <v>347248625</v>
          </cell>
        </row>
        <row r="80">
          <cell r="H80">
            <v>57694</v>
          </cell>
        </row>
        <row r="81">
          <cell r="H81">
            <v>57876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H82">
            <v>58059</v>
          </cell>
        </row>
        <row r="83">
          <cell r="H83">
            <v>58241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H84">
            <v>58424</v>
          </cell>
        </row>
        <row r="85">
          <cell r="H85">
            <v>58607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7">
          <cell r="I87">
            <v>3108221032.6500001</v>
          </cell>
          <cell r="J87">
            <v>2382685008.4533334</v>
          </cell>
          <cell r="K87">
            <v>6415688656.4500008</v>
          </cell>
          <cell r="L87">
            <v>-1907027.0833333333</v>
          </cell>
          <cell r="M87">
            <v>11904687670.470001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N10" sqref="N10"/>
    </sheetView>
  </sheetViews>
  <sheetFormatPr defaultColWidth="9.28515625" defaultRowHeight="13.8" x14ac:dyDescent="0.25"/>
  <cols>
    <col min="1" max="1" width="58.42578125" style="3" customWidth="1"/>
    <col min="2" max="2" width="17.140625" style="3" customWidth="1"/>
    <col min="3" max="3" width="1" style="3" customWidth="1"/>
    <col min="4" max="4" width="10.28515625" style="5" customWidth="1"/>
    <col min="5" max="5" width="1" style="3" customWidth="1"/>
    <col min="6" max="6" width="13" style="5" customWidth="1"/>
    <col min="7" max="7" width="1" style="3" customWidth="1"/>
    <col min="8" max="8" width="15.85546875" style="3" customWidth="1"/>
    <col min="9" max="9" width="1" style="3" customWidth="1"/>
    <col min="10" max="10" width="15.85546875" style="3" customWidth="1"/>
    <col min="11" max="11" width="10.42578125" style="3" customWidth="1"/>
    <col min="12" max="12" width="4.28515625" style="3" customWidth="1"/>
    <col min="13" max="13" width="17.7109375" style="3" customWidth="1"/>
    <col min="14" max="14" width="16.140625" style="3" customWidth="1"/>
    <col min="15" max="15" width="15.42578125" style="3" customWidth="1"/>
    <col min="16" max="16" width="9.28515625" style="3"/>
    <col min="17" max="17" width="21.140625" style="77" customWidth="1"/>
    <col min="18" max="16384" width="9.28515625" style="3"/>
  </cols>
  <sheetData>
    <row r="1" spans="1:14" ht="27.6" x14ac:dyDescent="0.45">
      <c r="A1" s="213" t="s">
        <v>83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4" ht="24.6" x14ac:dyDescent="0.4">
      <c r="A2" s="214" t="s">
        <v>84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4" ht="18" x14ac:dyDescent="0.35">
      <c r="H3" s="28"/>
      <c r="I3" s="28"/>
      <c r="J3" s="78"/>
    </row>
    <row r="4" spans="1:14" ht="18" x14ac:dyDescent="0.35">
      <c r="A4" s="29" t="s">
        <v>88</v>
      </c>
      <c r="B4" s="79">
        <v>36865000</v>
      </c>
      <c r="H4" s="28"/>
      <c r="I4" s="28"/>
      <c r="J4" s="78"/>
    </row>
    <row r="5" spans="1:14" x14ac:dyDescent="0.25">
      <c r="B5" s="80"/>
    </row>
    <row r="6" spans="1:14" x14ac:dyDescent="0.25">
      <c r="B6" s="81"/>
      <c r="H6" s="215" t="s">
        <v>72</v>
      </c>
      <c r="I6" s="215"/>
      <c r="J6" s="215"/>
    </row>
    <row r="7" spans="1:14" x14ac:dyDescent="0.25">
      <c r="A7" s="82"/>
      <c r="B7" s="9" t="s">
        <v>6</v>
      </c>
      <c r="H7" s="9" t="s">
        <v>73</v>
      </c>
      <c r="J7" s="9" t="s">
        <v>74</v>
      </c>
    </row>
    <row r="8" spans="1:14" x14ac:dyDescent="0.25">
      <c r="B8" s="83" t="s">
        <v>75</v>
      </c>
      <c r="H8" s="83" t="s">
        <v>76</v>
      </c>
      <c r="J8" s="83" t="s">
        <v>76</v>
      </c>
    </row>
    <row r="9" spans="1:14" x14ac:dyDescent="0.25">
      <c r="A9" s="3" t="s">
        <v>87</v>
      </c>
      <c r="B9" s="80"/>
      <c r="F9" s="3"/>
      <c r="H9" s="80"/>
      <c r="I9" s="85"/>
      <c r="J9" s="80"/>
      <c r="N9" s="80"/>
    </row>
    <row r="10" spans="1:14" x14ac:dyDescent="0.25">
      <c r="A10" s="3" t="s">
        <v>85</v>
      </c>
      <c r="B10" s="80">
        <f>B4/1000*5</f>
        <v>184325</v>
      </c>
      <c r="D10" s="84"/>
      <c r="E10" s="4"/>
      <c r="H10" s="80">
        <f t="shared" ref="H10" si="0">IF(F10&lt;&gt;"",B10,0)</f>
        <v>0</v>
      </c>
      <c r="I10" s="85"/>
      <c r="J10" s="80">
        <f t="shared" ref="J10" si="1">+B10</f>
        <v>184325</v>
      </c>
      <c r="N10" s="88"/>
    </row>
    <row r="11" spans="1:14" x14ac:dyDescent="0.25">
      <c r="A11" s="89" t="s">
        <v>86</v>
      </c>
      <c r="B11" s="91">
        <v>70000</v>
      </c>
      <c r="F11" s="3"/>
      <c r="H11" s="86">
        <v>0</v>
      </c>
      <c r="I11" s="85"/>
      <c r="J11" s="86">
        <v>0</v>
      </c>
      <c r="N11" s="80"/>
    </row>
    <row r="12" spans="1:14" x14ac:dyDescent="0.25">
      <c r="B12" s="92"/>
      <c r="F12" s="3"/>
    </row>
    <row r="13" spans="1:14" x14ac:dyDescent="0.25">
      <c r="A13" s="3" t="s">
        <v>89</v>
      </c>
      <c r="B13" s="80">
        <f>SUM(B9:B12)</f>
        <v>254325</v>
      </c>
      <c r="H13" s="80">
        <f>SUM(H9:H12)</f>
        <v>0</v>
      </c>
      <c r="J13" s="80">
        <f>SUM(J9:J12)</f>
        <v>184325</v>
      </c>
      <c r="K13" s="87">
        <f>+H13/J13</f>
        <v>0</v>
      </c>
    </row>
    <row r="15" spans="1:14" x14ac:dyDescent="0.25">
      <c r="A15" s="3" t="s">
        <v>90</v>
      </c>
      <c r="B15" s="80">
        <v>84238</v>
      </c>
      <c r="C15" s="93"/>
      <c r="D15" s="94"/>
      <c r="E15" s="93"/>
      <c r="H15" s="80">
        <v>0</v>
      </c>
      <c r="I15" s="85"/>
      <c r="J15" s="80">
        <f t="shared" ref="J15:J16" si="2">+B15</f>
        <v>84238</v>
      </c>
    </row>
    <row r="16" spans="1:14" x14ac:dyDescent="0.25">
      <c r="A16" s="3" t="s">
        <v>79</v>
      </c>
      <c r="B16" s="92">
        <v>38000</v>
      </c>
      <c r="C16" s="93"/>
      <c r="D16" s="94"/>
      <c r="E16" s="93"/>
      <c r="H16" s="4">
        <f t="shared" ref="H16" si="3">IF(F16&lt;&gt;"",B16,0)</f>
        <v>0</v>
      </c>
      <c r="I16" s="85"/>
      <c r="J16" s="4">
        <f t="shared" si="2"/>
        <v>38000</v>
      </c>
    </row>
    <row r="17" spans="1:16" x14ac:dyDescent="0.25">
      <c r="A17" s="89" t="s">
        <v>80</v>
      </c>
      <c r="B17" s="90">
        <v>6666.67</v>
      </c>
      <c r="C17" s="93"/>
      <c r="D17" s="94"/>
      <c r="E17" s="93"/>
      <c r="H17" s="4">
        <f>IF(F17&lt;&gt;"",B17,0)</f>
        <v>0</v>
      </c>
      <c r="I17" s="85"/>
      <c r="J17" s="4">
        <v>0</v>
      </c>
    </row>
    <row r="18" spans="1:16" x14ac:dyDescent="0.25">
      <c r="A18" s="89" t="s">
        <v>81</v>
      </c>
      <c r="B18" s="91">
        <v>15000</v>
      </c>
      <c r="C18" s="93"/>
      <c r="D18" s="94"/>
      <c r="E18" s="93"/>
      <c r="H18" s="86">
        <v>0</v>
      </c>
      <c r="I18" s="85"/>
      <c r="J18" s="86">
        <v>0</v>
      </c>
    </row>
    <row r="20" spans="1:16" ht="14.4" thickBot="1" x14ac:dyDescent="0.3">
      <c r="A20" s="3" t="s">
        <v>91</v>
      </c>
      <c r="B20" s="95">
        <f>SUM(B13:B18)</f>
        <v>398229.67</v>
      </c>
      <c r="H20" s="95">
        <f>SUM(H13:H18)</f>
        <v>0</v>
      </c>
      <c r="I20" s="80"/>
      <c r="J20" s="95">
        <f>SUM(J13:J18)</f>
        <v>306563</v>
      </c>
      <c r="K20" s="96">
        <f>+H20/J20</f>
        <v>0</v>
      </c>
    </row>
    <row r="21" spans="1:16" ht="14.4" thickTop="1" x14ac:dyDescent="0.25">
      <c r="N21" s="29"/>
    </row>
    <row r="22" spans="1:16" x14ac:dyDescent="0.25">
      <c r="B22" s="80"/>
      <c r="H22" s="5" t="s">
        <v>77</v>
      </c>
      <c r="J22" s="80">
        <v>0</v>
      </c>
      <c r="K22" s="96">
        <f>J22/J20</f>
        <v>0</v>
      </c>
      <c r="N22" s="5"/>
      <c r="O22" s="80"/>
      <c r="P22" s="97"/>
    </row>
    <row r="23" spans="1:16" x14ac:dyDescent="0.25">
      <c r="B23" s="4"/>
      <c r="H23" s="5" t="s">
        <v>78</v>
      </c>
      <c r="J23" s="80">
        <v>0</v>
      </c>
      <c r="K23" s="96">
        <f>J23/J20</f>
        <v>0</v>
      </c>
      <c r="N23" s="5"/>
      <c r="O23" s="98"/>
      <c r="P23" s="97"/>
    </row>
    <row r="24" spans="1:16" x14ac:dyDescent="0.25">
      <c r="O24" s="80"/>
    </row>
    <row r="25" spans="1:16" x14ac:dyDescent="0.25">
      <c r="O25" s="80"/>
    </row>
    <row r="26" spans="1:16" x14ac:dyDescent="0.25">
      <c r="A26" s="99">
        <f ca="1">NOW()</f>
        <v>45358.638994791669</v>
      </c>
      <c r="B26" s="80"/>
      <c r="J26" s="3" t="s">
        <v>82</v>
      </c>
      <c r="O26" s="80"/>
    </row>
    <row r="27" spans="1:16" x14ac:dyDescent="0.25">
      <c r="B27" s="80"/>
    </row>
    <row r="28" spans="1:16" x14ac:dyDescent="0.25">
      <c r="B28" s="80"/>
    </row>
    <row r="29" spans="1:16" x14ac:dyDescent="0.25">
      <c r="B29" s="80"/>
    </row>
    <row r="30" spans="1:16" x14ac:dyDescent="0.25">
      <c r="B30" s="80"/>
    </row>
    <row r="31" spans="1:16" x14ac:dyDescent="0.25">
      <c r="B31" s="80"/>
    </row>
    <row r="32" spans="1:16" x14ac:dyDescent="0.25">
      <c r="B32" s="80"/>
    </row>
    <row r="33" spans="2:2" x14ac:dyDescent="0.25">
      <c r="B33" s="80"/>
    </row>
    <row r="34" spans="2:2" x14ac:dyDescent="0.25">
      <c r="B34" s="80"/>
    </row>
    <row r="35" spans="2:2" x14ac:dyDescent="0.25">
      <c r="B35" s="80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28515625" defaultRowHeight="13.8" x14ac:dyDescent="0.25"/>
  <cols>
    <col min="1" max="1" width="9.28515625" style="12"/>
    <col min="2" max="2" width="17.85546875" style="12" customWidth="1"/>
    <col min="3" max="3" width="13.42578125" style="12" customWidth="1"/>
    <col min="4" max="4" width="7" style="12" customWidth="1"/>
    <col min="5" max="5" width="1.140625" style="12" customWidth="1"/>
    <col min="6" max="6" width="7" style="12" customWidth="1"/>
    <col min="7" max="7" width="1.140625" style="12" customWidth="1"/>
    <col min="8" max="9" width="13.140625" style="12" customWidth="1"/>
    <col min="10" max="12" width="7" style="12" customWidth="1"/>
    <col min="13" max="16384" width="9.28515625" style="12"/>
  </cols>
  <sheetData>
    <row r="3" spans="2:13" ht="20.399999999999999" x14ac:dyDescent="0.35">
      <c r="B3" s="21" t="s">
        <v>15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2:13" x14ac:dyDescent="0.25">
      <c r="B5" s="39" t="s">
        <v>16</v>
      </c>
      <c r="G5" s="12" t="s">
        <v>17</v>
      </c>
    </row>
    <row r="7" spans="2:13" x14ac:dyDescent="0.25">
      <c r="B7" s="12" t="s">
        <v>18</v>
      </c>
      <c r="D7" s="13" t="s">
        <v>19</v>
      </c>
      <c r="F7" s="12" t="s">
        <v>20</v>
      </c>
      <c r="L7" s="13"/>
      <c r="M7" s="23"/>
    </row>
    <row r="9" spans="2:13" x14ac:dyDescent="0.25">
      <c r="B9" s="12" t="s">
        <v>21</v>
      </c>
      <c r="F9" s="13" t="s">
        <v>19</v>
      </c>
      <c r="H9" s="12" t="s">
        <v>22</v>
      </c>
      <c r="J9" s="14"/>
    </row>
    <row r="11" spans="2:13" x14ac:dyDescent="0.25">
      <c r="B11" s="12" t="s">
        <v>23</v>
      </c>
      <c r="C11" s="14" t="s">
        <v>59</v>
      </c>
      <c r="D11" s="14"/>
      <c r="E11" s="14"/>
      <c r="F11" s="14"/>
      <c r="G11" s="14"/>
      <c r="H11" s="14"/>
      <c r="I11" s="14"/>
      <c r="J11" s="14"/>
      <c r="K11" s="14"/>
      <c r="L11" s="14"/>
      <c r="M11" s="13"/>
    </row>
    <row r="12" spans="2:13" x14ac:dyDescent="0.2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3"/>
    </row>
    <row r="14" spans="2:13" x14ac:dyDescent="0.25">
      <c r="B14" s="12" t="s">
        <v>24</v>
      </c>
      <c r="C14" s="14" t="s">
        <v>56</v>
      </c>
      <c r="D14" s="14"/>
      <c r="E14" s="14"/>
      <c r="F14" s="14"/>
      <c r="G14" s="14"/>
      <c r="H14" s="14"/>
      <c r="I14" s="14"/>
      <c r="J14" s="14"/>
      <c r="K14" s="14"/>
      <c r="L14" s="14"/>
      <c r="M14" s="13"/>
    </row>
    <row r="16" spans="2:13" x14ac:dyDescent="0.25">
      <c r="B16" s="12" t="s">
        <v>25</v>
      </c>
      <c r="C16" s="15">
        <v>43593</v>
      </c>
      <c r="F16" s="12" t="s">
        <v>26</v>
      </c>
      <c r="J16" s="16" t="s">
        <v>60</v>
      </c>
      <c r="K16" s="14"/>
      <c r="L16" s="14"/>
      <c r="M16" s="13"/>
    </row>
    <row r="18" spans="2:13" x14ac:dyDescent="0.25">
      <c r="B18" s="12" t="s">
        <v>27</v>
      </c>
      <c r="D18" s="14" t="s">
        <v>61</v>
      </c>
      <c r="E18" s="14"/>
      <c r="F18" s="14"/>
      <c r="G18" s="14"/>
      <c r="H18" s="14"/>
      <c r="I18" s="14"/>
      <c r="J18" s="14"/>
      <c r="K18" s="14"/>
      <c r="L18" s="14"/>
      <c r="M18" s="13"/>
    </row>
    <row r="19" spans="2:13" x14ac:dyDescent="0.25">
      <c r="D19" s="14" t="s">
        <v>62</v>
      </c>
      <c r="E19" s="14"/>
      <c r="F19" s="14"/>
      <c r="G19" s="14"/>
      <c r="H19" s="14"/>
      <c r="I19" s="14"/>
      <c r="J19" s="14"/>
      <c r="K19" s="14"/>
      <c r="L19" s="14"/>
      <c r="M19" s="13"/>
    </row>
    <row r="20" spans="2:13" x14ac:dyDescent="0.25">
      <c r="D20" s="25" t="s">
        <v>63</v>
      </c>
      <c r="E20" s="25"/>
      <c r="F20" s="25"/>
      <c r="G20" s="25"/>
      <c r="H20" s="25"/>
      <c r="I20" s="25"/>
      <c r="J20" s="25"/>
      <c r="K20" s="25"/>
      <c r="L20" s="25"/>
      <c r="M20" s="24"/>
    </row>
    <row r="21" spans="2:13" x14ac:dyDescent="0.25">
      <c r="D21" s="25" t="s">
        <v>64</v>
      </c>
      <c r="E21" s="25"/>
      <c r="F21" s="25"/>
      <c r="G21" s="25"/>
      <c r="H21" s="25"/>
      <c r="I21" s="25"/>
      <c r="J21" s="25"/>
      <c r="K21" s="25"/>
      <c r="L21" s="25"/>
      <c r="M21" s="24"/>
    </row>
    <row r="22" spans="2:13" x14ac:dyDescent="0.25">
      <c r="M22" s="23"/>
    </row>
    <row r="23" spans="2:13" x14ac:dyDescent="0.25">
      <c r="B23" s="12" t="s">
        <v>28</v>
      </c>
      <c r="D23" s="72" t="s">
        <v>65</v>
      </c>
      <c r="E23" s="14"/>
      <c r="F23" s="14"/>
      <c r="G23" s="14"/>
      <c r="H23" s="14"/>
      <c r="I23" s="14"/>
      <c r="J23" s="14"/>
      <c r="K23" s="14"/>
      <c r="L23" s="14"/>
      <c r="M23" s="14"/>
    </row>
    <row r="25" spans="2:13" x14ac:dyDescent="0.25">
      <c r="B25" s="12" t="s">
        <v>29</v>
      </c>
      <c r="C25" s="18">
        <v>51667</v>
      </c>
      <c r="D25" s="20"/>
    </row>
    <row r="26" spans="2:13" x14ac:dyDescent="0.25">
      <c r="C26" s="19"/>
    </row>
    <row r="27" spans="2:13" x14ac:dyDescent="0.25">
      <c r="B27" s="12" t="s">
        <v>30</v>
      </c>
      <c r="C27" s="18">
        <v>43593</v>
      </c>
      <c r="D27" s="20"/>
    </row>
    <row r="29" spans="2:13" x14ac:dyDescent="0.25">
      <c r="B29" s="12" t="s">
        <v>32</v>
      </c>
      <c r="H29" s="17">
        <v>44727</v>
      </c>
    </row>
    <row r="30" spans="2:13" x14ac:dyDescent="0.25">
      <c r="B30" s="12" t="s">
        <v>31</v>
      </c>
      <c r="H30" s="17">
        <v>51667</v>
      </c>
    </row>
    <row r="32" spans="2:13" x14ac:dyDescent="0.25">
      <c r="B32" s="12" t="s">
        <v>33</v>
      </c>
      <c r="H32" s="17">
        <v>43631</v>
      </c>
    </row>
    <row r="33" spans="2:13" x14ac:dyDescent="0.25">
      <c r="B33" s="12" t="s">
        <v>34</v>
      </c>
      <c r="H33" s="17">
        <f>H30</f>
        <v>51667</v>
      </c>
    </row>
    <row r="36" spans="2:13" x14ac:dyDescent="0.25">
      <c r="D36" s="22"/>
      <c r="F36" s="12" t="s">
        <v>44</v>
      </c>
    </row>
    <row r="37" spans="2:13" x14ac:dyDescent="0.25">
      <c r="D37" s="23"/>
    </row>
    <row r="38" spans="2:13" x14ac:dyDescent="0.25">
      <c r="D38" s="22" t="s">
        <v>19</v>
      </c>
      <c r="F38" s="12" t="s">
        <v>45</v>
      </c>
    </row>
    <row r="39" spans="2:13" x14ac:dyDescent="0.25">
      <c r="D39" s="23"/>
    </row>
    <row r="40" spans="2:13" x14ac:dyDescent="0.25">
      <c r="D40" s="22"/>
      <c r="F40" s="12" t="s">
        <v>35</v>
      </c>
    </row>
    <row r="41" spans="2:13" x14ac:dyDescent="0.25">
      <c r="D41" s="23"/>
      <c r="F41" s="12" t="s">
        <v>43</v>
      </c>
    </row>
    <row r="42" spans="2:13" x14ac:dyDescent="0.25">
      <c r="D42" s="23"/>
    </row>
    <row r="43" spans="2:13" x14ac:dyDescent="0.25">
      <c r="D43" s="12" t="s">
        <v>36</v>
      </c>
    </row>
    <row r="44" spans="2:13" x14ac:dyDescent="0.25">
      <c r="D44" s="12" t="s">
        <v>37</v>
      </c>
    </row>
    <row r="47" spans="2:13" x14ac:dyDescent="0.25">
      <c r="H47" s="12" t="s">
        <v>38</v>
      </c>
      <c r="J47" s="14"/>
      <c r="K47" s="14"/>
      <c r="L47" s="14"/>
      <c r="M47" s="14"/>
    </row>
    <row r="48" spans="2:13" x14ac:dyDescent="0.25">
      <c r="H48" s="12" t="s">
        <v>39</v>
      </c>
      <c r="J48" s="216" t="s">
        <v>42</v>
      </c>
      <c r="K48" s="216"/>
      <c r="L48" s="216"/>
      <c r="M48" s="216"/>
    </row>
    <row r="49" spans="2:13" x14ac:dyDescent="0.25">
      <c r="H49" s="12" t="s">
        <v>14</v>
      </c>
      <c r="J49" s="217">
        <v>43616</v>
      </c>
      <c r="K49" s="217">
        <v>42613</v>
      </c>
      <c r="L49" s="217"/>
      <c r="M49" s="217"/>
    </row>
    <row r="50" spans="2:13" x14ac:dyDescent="0.25">
      <c r="H50" s="12" t="s">
        <v>40</v>
      </c>
      <c r="J50" s="216" t="s">
        <v>57</v>
      </c>
      <c r="K50" s="216" t="s">
        <v>41</v>
      </c>
      <c r="L50" s="216"/>
      <c r="M50" s="216"/>
    </row>
    <row r="51" spans="2:13" x14ac:dyDescent="0.25">
      <c r="J51" s="23"/>
      <c r="K51" s="23"/>
      <c r="L51" s="23"/>
      <c r="M51" s="23"/>
    </row>
    <row r="52" spans="2:13" x14ac:dyDescent="0.25">
      <c r="J52" s="23"/>
      <c r="K52" s="23"/>
      <c r="L52" s="23"/>
      <c r="M52" s="23"/>
    </row>
    <row r="54" spans="2:13" x14ac:dyDescent="0.25">
      <c r="B54" s="12" t="s">
        <v>66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2428-49FE-4EB7-95D0-775C777007C2}">
  <sheetPr>
    <pageSetUpPr fitToPage="1"/>
  </sheetPr>
  <dimension ref="A1:M55"/>
  <sheetViews>
    <sheetView workbookViewId="0">
      <selection activeCell="K44" sqref="K44"/>
    </sheetView>
  </sheetViews>
  <sheetFormatPr defaultRowHeight="14.4" x14ac:dyDescent="0.3"/>
  <cols>
    <col min="1" max="1" width="69.28515625" style="159" bestFit="1" customWidth="1"/>
    <col min="2" max="2" width="26" style="159" bestFit="1" customWidth="1"/>
    <col min="3" max="4" width="18.140625" style="159" bestFit="1" customWidth="1"/>
    <col min="5" max="5" width="3.140625" style="159" customWidth="1"/>
    <col min="6" max="6" width="12.140625" style="159" bestFit="1" customWidth="1"/>
    <col min="7" max="7" width="3.7109375" style="159" customWidth="1"/>
    <col min="8" max="8" width="14.140625" style="159" bestFit="1" customWidth="1"/>
    <col min="9" max="9" width="9.140625" style="159"/>
    <col min="10" max="10" width="16" style="159" bestFit="1" customWidth="1"/>
    <col min="11" max="11" width="9" style="159" bestFit="1" customWidth="1"/>
    <col min="12" max="12" width="17.5703125" style="159" customWidth="1"/>
    <col min="13" max="16384" width="9.140625" style="159"/>
  </cols>
  <sheetData>
    <row r="1" spans="1:13" ht="28.8" x14ac:dyDescent="0.55000000000000004">
      <c r="A1" s="218" t="s">
        <v>129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162"/>
      <c r="M1" s="162"/>
    </row>
    <row r="2" spans="1:13" ht="25.8" x14ac:dyDescent="0.5">
      <c r="A2" s="219" t="s">
        <v>128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162"/>
      <c r="M2" s="162"/>
    </row>
    <row r="3" spans="1:13" ht="18" x14ac:dyDescent="0.35">
      <c r="A3" s="162"/>
      <c r="B3" s="162"/>
      <c r="C3" s="162"/>
      <c r="D3" s="162"/>
      <c r="E3" s="162"/>
      <c r="F3" s="163"/>
      <c r="G3" s="162"/>
      <c r="H3" s="194"/>
      <c r="I3" s="194"/>
      <c r="J3" s="197"/>
      <c r="K3" s="162"/>
      <c r="L3" s="162"/>
      <c r="M3" s="162"/>
    </row>
    <row r="4" spans="1:13" ht="18" x14ac:dyDescent="0.35">
      <c r="A4" s="196" t="s">
        <v>127</v>
      </c>
      <c r="B4" s="195">
        <v>16470000</v>
      </c>
      <c r="C4" s="195">
        <v>26360000</v>
      </c>
      <c r="D4" s="195">
        <f>SUM(B4:C4)</f>
        <v>42830000</v>
      </c>
      <c r="E4" s="162"/>
      <c r="F4" s="163"/>
      <c r="G4" s="162"/>
      <c r="H4" s="194"/>
      <c r="I4" s="194"/>
      <c r="J4" s="193"/>
      <c r="K4" s="162"/>
      <c r="L4" s="162"/>
      <c r="M4" s="162"/>
    </row>
    <row r="5" spans="1:13" ht="16.2" x14ac:dyDescent="0.45">
      <c r="A5" s="162"/>
      <c r="B5" s="192">
        <f>-0.0136*B4</f>
        <v>-223992</v>
      </c>
      <c r="C5" s="192">
        <v>0</v>
      </c>
      <c r="D5" s="192">
        <f>SUM(B5:C5)</f>
        <v>-223992</v>
      </c>
      <c r="E5" s="162"/>
      <c r="F5" s="163"/>
      <c r="G5" s="162"/>
      <c r="H5" s="162"/>
      <c r="I5" s="162"/>
      <c r="J5" s="162"/>
      <c r="K5" s="162"/>
      <c r="L5" s="162"/>
      <c r="M5" s="162"/>
    </row>
    <row r="6" spans="1:13" x14ac:dyDescent="0.3">
      <c r="A6" s="162"/>
      <c r="B6" s="167">
        <f>SUM(B4:B5)</f>
        <v>16246008</v>
      </c>
      <c r="C6" s="167">
        <f>SUM(C4:C5)</f>
        <v>26360000</v>
      </c>
      <c r="D6" s="167">
        <f>SUM(D4:D5)</f>
        <v>42606008</v>
      </c>
      <c r="E6" s="162"/>
      <c r="F6" s="163"/>
      <c r="G6" s="162"/>
      <c r="H6" s="220" t="s">
        <v>72</v>
      </c>
      <c r="I6" s="220"/>
      <c r="J6" s="220"/>
      <c r="K6" s="162"/>
      <c r="L6" s="162"/>
      <c r="M6" s="162"/>
    </row>
    <row r="7" spans="1:13" x14ac:dyDescent="0.3">
      <c r="B7" s="191"/>
      <c r="L7" s="162"/>
      <c r="M7" s="162"/>
    </row>
    <row r="8" spans="1:13" x14ac:dyDescent="0.3">
      <c r="A8" s="190"/>
      <c r="B8" s="189"/>
      <c r="C8" s="189"/>
      <c r="D8" s="189" t="s">
        <v>6</v>
      </c>
      <c r="E8" s="162"/>
      <c r="F8" s="163"/>
      <c r="G8" s="162"/>
      <c r="H8" s="189" t="s">
        <v>73</v>
      </c>
      <c r="I8" s="162"/>
      <c r="J8" s="189" t="s">
        <v>74</v>
      </c>
      <c r="K8" s="162"/>
      <c r="L8" s="162"/>
      <c r="M8" s="162"/>
    </row>
    <row r="9" spans="1:13" x14ac:dyDescent="0.3">
      <c r="A9" s="162"/>
      <c r="B9" s="188" t="s">
        <v>126</v>
      </c>
      <c r="C9" s="188" t="s">
        <v>125</v>
      </c>
      <c r="D9" s="188" t="s">
        <v>75</v>
      </c>
      <c r="E9" s="162"/>
      <c r="F9" s="163"/>
      <c r="G9" s="162"/>
      <c r="H9" s="188" t="s">
        <v>76</v>
      </c>
      <c r="I9" s="162"/>
      <c r="J9" s="188" t="s">
        <v>76</v>
      </c>
      <c r="K9" s="162"/>
      <c r="L9" s="162"/>
      <c r="M9" s="184"/>
    </row>
    <row r="10" spans="1:13" x14ac:dyDescent="0.3">
      <c r="A10" s="187" t="s">
        <v>124</v>
      </c>
      <c r="B10" s="167">
        <f>+B4*0.625%</f>
        <v>102937.5</v>
      </c>
      <c r="C10" s="167">
        <v>0</v>
      </c>
      <c r="D10" s="167">
        <f>SUM(B10:C10)</f>
        <v>102937.5</v>
      </c>
      <c r="E10" s="168"/>
      <c r="F10" s="163"/>
      <c r="G10" s="162"/>
      <c r="H10" s="167">
        <f>IF(F10&lt;&gt;"",D10,0)</f>
        <v>0</v>
      </c>
      <c r="I10" s="167"/>
      <c r="J10" s="167">
        <f>+D10</f>
        <v>102937.5</v>
      </c>
      <c r="K10" s="162"/>
      <c r="L10" s="162"/>
      <c r="M10" s="184"/>
    </row>
    <row r="11" spans="1:13" x14ac:dyDescent="0.3">
      <c r="A11" s="187" t="s">
        <v>123</v>
      </c>
      <c r="B11" s="186">
        <v>0</v>
      </c>
      <c r="C11" s="186">
        <f>0.25%*C4</f>
        <v>65900</v>
      </c>
      <c r="D11" s="186">
        <f>SUM(B11:C11)</f>
        <v>65900</v>
      </c>
      <c r="E11" s="168"/>
      <c r="F11" s="163"/>
      <c r="G11" s="162"/>
      <c r="H11" s="186">
        <f>IF(F13&lt;&gt;"",D11,0)</f>
        <v>0</v>
      </c>
      <c r="I11" s="186"/>
      <c r="J11" s="186">
        <f>+D11</f>
        <v>65900</v>
      </c>
      <c r="K11" s="162"/>
      <c r="L11" s="162"/>
      <c r="M11" s="184"/>
    </row>
    <row r="12" spans="1:13" x14ac:dyDescent="0.3">
      <c r="H12" s="185"/>
      <c r="I12" s="185"/>
      <c r="J12" s="185"/>
      <c r="M12" s="184"/>
    </row>
    <row r="13" spans="1:13" x14ac:dyDescent="0.3">
      <c r="A13" s="181" t="s">
        <v>122</v>
      </c>
      <c r="B13" s="166">
        <f>SUM(B10:B11)</f>
        <v>102937.5</v>
      </c>
      <c r="C13" s="166">
        <f>SUM(C10:C11)</f>
        <v>65900</v>
      </c>
      <c r="D13" s="166">
        <f>SUM(D10:D11)</f>
        <v>168837.5</v>
      </c>
      <c r="E13" s="168"/>
      <c r="F13" s="163"/>
      <c r="G13" s="162"/>
      <c r="H13" s="166">
        <f>SUM(H10:H11)</f>
        <v>0</v>
      </c>
      <c r="I13" s="166"/>
      <c r="J13" s="166">
        <f>SUM(J10:J11)</f>
        <v>168837.5</v>
      </c>
      <c r="K13" s="176">
        <f>+H13/J13</f>
        <v>0</v>
      </c>
      <c r="L13" s="162"/>
      <c r="M13" s="162"/>
    </row>
    <row r="14" spans="1:13" x14ac:dyDescent="0.3">
      <c r="B14" s="179"/>
      <c r="C14" s="179"/>
      <c r="D14" s="179"/>
      <c r="E14" s="168"/>
      <c r="F14" s="163"/>
      <c r="G14" s="162"/>
      <c r="H14" s="179"/>
      <c r="I14" s="179"/>
      <c r="J14" s="179"/>
      <c r="L14" s="162"/>
      <c r="M14" s="183"/>
    </row>
    <row r="15" spans="1:13" x14ac:dyDescent="0.3">
      <c r="A15" s="174" t="s">
        <v>121</v>
      </c>
      <c r="B15" s="173">
        <f>+$B$4/$D$4*$D15+17254.67</f>
        <v>42250.000375904739</v>
      </c>
      <c r="C15" s="173">
        <f>+D15-B15</f>
        <v>22749.999624095261</v>
      </c>
      <c r="D15" s="173">
        <v>65000</v>
      </c>
      <c r="E15" s="174"/>
      <c r="F15" s="175"/>
      <c r="G15" s="174"/>
      <c r="H15" s="173">
        <f t="shared" ref="H15:H21" si="0">IF(F15&lt;&gt;"",D15,0)</f>
        <v>0</v>
      </c>
      <c r="I15" s="173"/>
      <c r="J15" s="173">
        <v>0</v>
      </c>
      <c r="K15" s="162"/>
      <c r="L15" s="162"/>
      <c r="M15" s="183"/>
    </row>
    <row r="16" spans="1:13" x14ac:dyDescent="0.3">
      <c r="A16" s="174" t="s">
        <v>120</v>
      </c>
      <c r="B16" s="173">
        <f>200*(1.5)+5</f>
        <v>305</v>
      </c>
      <c r="C16" s="173">
        <v>0</v>
      </c>
      <c r="D16" s="173">
        <f t="shared" ref="D16:D21" si="1">SUM(B16:C16)</f>
        <v>305</v>
      </c>
      <c r="E16" s="174"/>
      <c r="F16" s="174"/>
      <c r="G16" s="174"/>
      <c r="H16" s="173">
        <f t="shared" si="0"/>
        <v>0</v>
      </c>
      <c r="I16" s="173"/>
      <c r="J16" s="173">
        <v>0</v>
      </c>
      <c r="K16" s="162"/>
      <c r="L16" s="162"/>
      <c r="M16" s="162"/>
    </row>
    <row r="17" spans="1:13" x14ac:dyDescent="0.3">
      <c r="A17" s="174" t="s">
        <v>119</v>
      </c>
      <c r="B17" s="173">
        <f>0.07066*B4/1000</f>
        <v>1163.7701999999999</v>
      </c>
      <c r="C17" s="173">
        <v>0</v>
      </c>
      <c r="D17" s="173">
        <f t="shared" si="1"/>
        <v>1163.7701999999999</v>
      </c>
      <c r="E17" s="174"/>
      <c r="F17" s="174"/>
      <c r="G17" s="174"/>
      <c r="H17" s="173">
        <f t="shared" si="0"/>
        <v>0</v>
      </c>
      <c r="I17" s="173"/>
      <c r="J17" s="173">
        <v>0</v>
      </c>
      <c r="K17" s="162"/>
      <c r="L17" s="162"/>
      <c r="M17" s="168"/>
    </row>
    <row r="18" spans="1:13" x14ac:dyDescent="0.3">
      <c r="A18" s="174" t="s">
        <v>118</v>
      </c>
      <c r="B18" s="173">
        <f>47.25*(1+0.08875)</f>
        <v>51.443437500000002</v>
      </c>
      <c r="C18" s="173">
        <v>0</v>
      </c>
      <c r="D18" s="173">
        <f t="shared" si="1"/>
        <v>51.443437500000002</v>
      </c>
      <c r="E18" s="174"/>
      <c r="F18" s="174"/>
      <c r="G18" s="174"/>
      <c r="H18" s="173">
        <f t="shared" si="0"/>
        <v>0</v>
      </c>
      <c r="I18" s="173"/>
      <c r="J18" s="173">
        <v>0</v>
      </c>
      <c r="K18" s="162"/>
      <c r="L18" s="162"/>
      <c r="M18" s="168"/>
    </row>
    <row r="19" spans="1:13" x14ac:dyDescent="0.3">
      <c r="A19" s="174" t="s">
        <v>117</v>
      </c>
      <c r="B19" s="173">
        <f>+B6*0.01/360</f>
        <v>451.27800000000002</v>
      </c>
      <c r="C19" s="173">
        <v>0</v>
      </c>
      <c r="D19" s="173">
        <f t="shared" si="1"/>
        <v>451.27800000000002</v>
      </c>
      <c r="E19" s="174"/>
      <c r="F19" s="174"/>
      <c r="G19" s="174"/>
      <c r="H19" s="173">
        <f t="shared" si="0"/>
        <v>0</v>
      </c>
      <c r="I19" s="173"/>
      <c r="J19" s="173">
        <v>0</v>
      </c>
      <c r="K19" s="162"/>
      <c r="L19" s="162"/>
      <c r="M19" s="168"/>
    </row>
    <row r="20" spans="1:13" x14ac:dyDescent="0.3">
      <c r="A20" s="174" t="s">
        <v>116</v>
      </c>
      <c r="B20" s="173">
        <v>300</v>
      </c>
      <c r="C20" s="173">
        <v>0</v>
      </c>
      <c r="D20" s="173">
        <f t="shared" si="1"/>
        <v>300</v>
      </c>
      <c r="E20" s="174"/>
      <c r="F20" s="174"/>
      <c r="G20" s="174"/>
      <c r="H20" s="173">
        <f t="shared" si="0"/>
        <v>0</v>
      </c>
      <c r="I20" s="173"/>
      <c r="J20" s="173">
        <v>0</v>
      </c>
      <c r="K20" s="162"/>
      <c r="L20" s="162"/>
      <c r="M20" s="168"/>
    </row>
    <row r="21" spans="1:13" x14ac:dyDescent="0.3">
      <c r="A21" s="174" t="s">
        <v>115</v>
      </c>
      <c r="B21" s="182">
        <v>250</v>
      </c>
      <c r="C21" s="182">
        <v>0</v>
      </c>
      <c r="D21" s="182">
        <f t="shared" si="1"/>
        <v>250</v>
      </c>
      <c r="E21" s="174"/>
      <c r="F21" s="174"/>
      <c r="G21" s="174"/>
      <c r="H21" s="182">
        <f t="shared" si="0"/>
        <v>0</v>
      </c>
      <c r="I21" s="173"/>
      <c r="J21" s="182">
        <v>0</v>
      </c>
      <c r="K21" s="162"/>
      <c r="L21" s="162"/>
      <c r="M21" s="161"/>
    </row>
    <row r="22" spans="1:13" x14ac:dyDescent="0.3">
      <c r="A22" s="181" t="s">
        <v>114</v>
      </c>
      <c r="B22" s="178">
        <f>SUM(B15:B21)</f>
        <v>44771.492013404735</v>
      </c>
      <c r="C22" s="178">
        <f>SUM(C15:C21)</f>
        <v>22749.999624095261</v>
      </c>
      <c r="D22" s="178">
        <f>SUM(D15:D21)</f>
        <v>67521.491637500003</v>
      </c>
      <c r="E22" s="162"/>
      <c r="F22" s="162"/>
      <c r="G22" s="162"/>
      <c r="H22" s="178">
        <f>SUM(H15:H21)</f>
        <v>0</v>
      </c>
      <c r="I22" s="166"/>
      <c r="J22" s="178">
        <f>SUM(J15:J21)</f>
        <v>0</v>
      </c>
      <c r="K22" s="162"/>
      <c r="L22" s="162"/>
      <c r="M22" s="162"/>
    </row>
    <row r="23" spans="1:13" x14ac:dyDescent="0.3">
      <c r="D23" s="180"/>
      <c r="H23" s="179"/>
      <c r="I23" s="179"/>
      <c r="J23" s="179"/>
      <c r="L23" s="162"/>
      <c r="M23" s="162"/>
    </row>
    <row r="24" spans="1:13" x14ac:dyDescent="0.3">
      <c r="A24" s="162" t="s">
        <v>113</v>
      </c>
      <c r="B24" s="178">
        <f>+B13+B22</f>
        <v>147708.99201340473</v>
      </c>
      <c r="C24" s="178">
        <f>+C13+C22</f>
        <v>88649.999624095261</v>
      </c>
      <c r="D24" s="178">
        <f>+B24+C24</f>
        <v>236358.9916375</v>
      </c>
      <c r="E24" s="162"/>
      <c r="F24" s="163"/>
      <c r="G24" s="162"/>
      <c r="H24" s="178">
        <f>+H13+H22</f>
        <v>0</v>
      </c>
      <c r="I24" s="166"/>
      <c r="J24" s="178">
        <f>+J13+J22</f>
        <v>168837.5</v>
      </c>
      <c r="K24" s="176">
        <f>+H24/J24</f>
        <v>0</v>
      </c>
      <c r="L24" s="162"/>
      <c r="M24" s="162"/>
    </row>
    <row r="25" spans="1:13" x14ac:dyDescent="0.3">
      <c r="A25" s="162"/>
      <c r="B25" s="167"/>
      <c r="C25" s="167"/>
      <c r="D25" s="167"/>
      <c r="E25" s="162"/>
      <c r="F25" s="163"/>
      <c r="G25" s="162"/>
      <c r="H25" s="177"/>
      <c r="I25" s="177"/>
      <c r="J25" s="177"/>
      <c r="K25" s="176"/>
      <c r="L25" s="162"/>
      <c r="M25" s="162"/>
    </row>
    <row r="26" spans="1:13" x14ac:dyDescent="0.3">
      <c r="A26" s="162"/>
      <c r="B26" s="167"/>
      <c r="C26" s="167"/>
      <c r="D26" s="167"/>
      <c r="E26" s="162"/>
      <c r="F26" s="163"/>
      <c r="G26" s="162"/>
      <c r="H26" s="162"/>
      <c r="I26" s="162"/>
      <c r="J26" s="162"/>
      <c r="K26" s="162"/>
      <c r="L26" s="162"/>
      <c r="M26" s="162"/>
    </row>
    <row r="27" spans="1:13" x14ac:dyDescent="0.3">
      <c r="A27" s="174" t="s">
        <v>112</v>
      </c>
      <c r="B27" s="173">
        <f>+$B$4/$D$4*$D27</f>
        <v>32686.201260798505</v>
      </c>
      <c r="C27" s="173">
        <f>+$C$4/$D$4*$D27</f>
        <v>52313.798739201498</v>
      </c>
      <c r="D27" s="173">
        <v>85000</v>
      </c>
      <c r="E27" s="174"/>
      <c r="F27" s="175"/>
      <c r="G27" s="174"/>
      <c r="H27" s="173">
        <v>0</v>
      </c>
      <c r="I27" s="173"/>
      <c r="J27" s="173">
        <f>+D27</f>
        <v>85000</v>
      </c>
      <c r="K27" s="162"/>
      <c r="L27" s="164"/>
      <c r="M27" s="162"/>
    </row>
    <row r="28" spans="1:13" x14ac:dyDescent="0.3">
      <c r="A28" s="174" t="s">
        <v>111</v>
      </c>
      <c r="B28" s="173">
        <f>+$B$4/$D$4*$D28</f>
        <v>17304.459491010974</v>
      </c>
      <c r="C28" s="173">
        <f>+$C$4/$D$4*$D28</f>
        <v>27695.540508989026</v>
      </c>
      <c r="D28" s="173">
        <v>45000</v>
      </c>
      <c r="E28" s="174"/>
      <c r="F28" s="175" t="s">
        <v>77</v>
      </c>
      <c r="G28" s="174"/>
      <c r="H28" s="173">
        <f>IF(F28&lt;&gt;"",D28,0)</f>
        <v>45000</v>
      </c>
      <c r="I28" s="173"/>
      <c r="J28" s="173">
        <f>+D28</f>
        <v>45000</v>
      </c>
      <c r="K28" s="162"/>
      <c r="L28" s="164"/>
      <c r="M28" s="162"/>
    </row>
    <row r="29" spans="1:13" x14ac:dyDescent="0.3">
      <c r="A29" s="174" t="s">
        <v>79</v>
      </c>
      <c r="B29" s="173">
        <f>+$B$4/$D$4*$D29</f>
        <v>38866.104424468831</v>
      </c>
      <c r="C29" s="173">
        <f>+$C$4/$D$4*$D29</f>
        <v>62204.645575531169</v>
      </c>
      <c r="D29" s="173">
        <f>100000+1070.75</f>
        <v>101070.75</v>
      </c>
      <c r="E29" s="174"/>
      <c r="F29" s="175"/>
      <c r="G29" s="174"/>
      <c r="H29" s="173">
        <f>IF(F29&lt;&gt;"",D29,0)</f>
        <v>0</v>
      </c>
      <c r="I29" s="173"/>
      <c r="J29" s="173">
        <f>+D29</f>
        <v>101070.75</v>
      </c>
      <c r="K29" s="162"/>
      <c r="L29" s="164"/>
      <c r="M29" s="162"/>
    </row>
    <row r="30" spans="1:13" x14ac:dyDescent="0.3">
      <c r="A30" s="174" t="s">
        <v>110</v>
      </c>
      <c r="B30" s="173">
        <f>+B4/1000000*25+5000+5000/2+88.25</f>
        <v>8000</v>
      </c>
      <c r="C30" s="173">
        <v>8000</v>
      </c>
      <c r="D30" s="173">
        <v>16000</v>
      </c>
      <c r="E30" s="174"/>
      <c r="F30" s="175"/>
      <c r="G30" s="174"/>
      <c r="H30" s="173">
        <f>IF(F30&lt;&gt;"",D30,0)</f>
        <v>0</v>
      </c>
      <c r="I30" s="173"/>
      <c r="J30" s="173">
        <f>+D30</f>
        <v>16000</v>
      </c>
      <c r="K30" s="162"/>
      <c r="L30" s="164"/>
      <c r="M30" s="162"/>
    </row>
    <row r="31" spans="1:13" x14ac:dyDescent="0.3">
      <c r="A31" s="174" t="s">
        <v>109</v>
      </c>
      <c r="B31" s="173">
        <f>+$B$4/$D$4*12500-381.15+B37</f>
        <v>4425.6443030586042</v>
      </c>
      <c r="C31" s="173">
        <f>+$C$4/$D$4*12500-689.6+C37</f>
        <v>7003.6056969413958</v>
      </c>
      <c r="D31" s="173">
        <f>SUM(B31:C31)</f>
        <v>11429.25</v>
      </c>
      <c r="E31" s="174"/>
      <c r="F31" s="175"/>
      <c r="G31" s="174"/>
      <c r="H31" s="173">
        <v>0</v>
      </c>
      <c r="I31" s="173"/>
      <c r="J31" s="173">
        <v>0</v>
      </c>
      <c r="K31" s="162"/>
      <c r="L31" s="164"/>
      <c r="M31" s="162"/>
    </row>
    <row r="32" spans="1:13" x14ac:dyDescent="0.3">
      <c r="B32" s="167"/>
      <c r="C32" s="167"/>
      <c r="D32" s="167"/>
      <c r="E32" s="162"/>
      <c r="F32" s="163"/>
      <c r="G32" s="162"/>
      <c r="H32" s="167"/>
      <c r="I32" s="167"/>
      <c r="J32" s="167"/>
      <c r="K32" s="162"/>
      <c r="L32" s="162"/>
      <c r="M32" s="162"/>
    </row>
    <row r="33" spans="1:13" x14ac:dyDescent="0.3">
      <c r="A33" s="162" t="s">
        <v>108</v>
      </c>
      <c r="B33" s="165">
        <f>SUM(B24,B27:B31)</f>
        <v>248991.40149274163</v>
      </c>
      <c r="C33" s="165">
        <f>SUM(C24,C27:C31)</f>
        <v>245867.59014475837</v>
      </c>
      <c r="D33" s="165">
        <f>SUM(D24,D27:D31)</f>
        <v>494858.9916375</v>
      </c>
      <c r="E33" s="162"/>
      <c r="F33" s="172" t="s">
        <v>107</v>
      </c>
      <c r="G33" s="171"/>
      <c r="H33" s="170">
        <f>SUM(H24,H25:H31)</f>
        <v>45000</v>
      </c>
      <c r="I33" s="170"/>
      <c r="J33" s="170">
        <f>SUM(J24,J25:J31)</f>
        <v>415908.25</v>
      </c>
      <c r="K33" s="169">
        <f>+H33/J33</f>
        <v>0.10819694007031599</v>
      </c>
      <c r="L33" s="164"/>
      <c r="M33" s="162"/>
    </row>
    <row r="34" spans="1:13" x14ac:dyDescent="0.3">
      <c r="A34" s="162"/>
      <c r="B34" s="165"/>
      <c r="C34" s="165"/>
      <c r="D34" s="165"/>
      <c r="E34" s="162"/>
      <c r="F34" s="163"/>
      <c r="G34" s="162"/>
      <c r="H34" s="165"/>
      <c r="I34" s="165"/>
      <c r="J34" s="165"/>
      <c r="K34" s="162"/>
      <c r="L34" s="162"/>
      <c r="M34" s="162"/>
    </row>
    <row r="35" spans="1:13" x14ac:dyDescent="0.3">
      <c r="A35" s="162"/>
      <c r="B35" s="198"/>
      <c r="C35" s="198"/>
      <c r="D35" s="198"/>
      <c r="E35" s="162"/>
      <c r="F35" s="163"/>
      <c r="G35" s="162"/>
      <c r="H35" s="165"/>
      <c r="I35" s="165"/>
      <c r="J35" s="165"/>
      <c r="K35" s="199"/>
      <c r="L35" s="162"/>
      <c r="M35" s="162"/>
    </row>
    <row r="36" spans="1:13" x14ac:dyDescent="0.3">
      <c r="A36" s="162"/>
      <c r="B36" s="200"/>
      <c r="C36" s="200"/>
      <c r="D36" s="168"/>
      <c r="E36" s="162"/>
      <c r="F36" s="163"/>
      <c r="G36" s="162"/>
      <c r="H36" s="201"/>
      <c r="I36" s="165"/>
      <c r="J36" s="165"/>
      <c r="K36" s="199"/>
      <c r="L36" s="162"/>
      <c r="M36" s="162"/>
    </row>
    <row r="37" spans="1:13" x14ac:dyDescent="0.3">
      <c r="A37" s="162"/>
      <c r="B37" s="162"/>
      <c r="C37" s="202"/>
      <c r="D37" s="164"/>
      <c r="E37" s="162"/>
      <c r="F37" s="163"/>
      <c r="G37" s="162"/>
      <c r="H37" s="165"/>
      <c r="I37" s="165"/>
      <c r="J37" s="165"/>
      <c r="K37" s="162"/>
      <c r="L37" s="162"/>
      <c r="M37" s="162"/>
    </row>
    <row r="38" spans="1:13" x14ac:dyDescent="0.3">
      <c r="A38" s="162"/>
      <c r="B38" s="165"/>
      <c r="C38" s="165"/>
      <c r="D38" s="164"/>
      <c r="E38" s="162"/>
      <c r="F38" s="163"/>
      <c r="G38" s="162"/>
      <c r="H38" s="161"/>
      <c r="I38" s="161"/>
      <c r="J38" s="161"/>
      <c r="K38" s="162"/>
      <c r="L38" s="162"/>
      <c r="M38" s="162"/>
    </row>
    <row r="39" spans="1:13" x14ac:dyDescent="0.3">
      <c r="A39" s="162"/>
      <c r="B39" s="165"/>
      <c r="C39" s="165"/>
      <c r="D39" s="162"/>
      <c r="E39" s="162"/>
      <c r="F39" s="203"/>
      <c r="G39" s="161"/>
      <c r="H39" s="161"/>
      <c r="I39" s="198"/>
      <c r="J39" s="204"/>
      <c r="K39" s="198"/>
      <c r="L39" s="162"/>
      <c r="M39" s="162"/>
    </row>
    <row r="40" spans="1:13" x14ac:dyDescent="0.3">
      <c r="A40" s="162"/>
      <c r="B40" s="164"/>
      <c r="C40" s="164"/>
      <c r="D40" s="164"/>
      <c r="E40" s="162"/>
      <c r="F40" s="205"/>
      <c r="G40" s="162"/>
      <c r="H40" s="161"/>
      <c r="I40" s="198"/>
      <c r="J40" s="204"/>
      <c r="K40" s="198"/>
      <c r="L40" s="162"/>
      <c r="M40" s="162"/>
    </row>
    <row r="41" spans="1:13" x14ac:dyDescent="0.3">
      <c r="A41" s="162"/>
      <c r="B41" s="165"/>
      <c r="C41" s="165"/>
      <c r="D41" s="164"/>
      <c r="E41" s="162"/>
      <c r="F41" s="163"/>
      <c r="G41" s="162"/>
      <c r="H41" s="162"/>
      <c r="I41" s="162"/>
      <c r="J41" s="161"/>
      <c r="K41" s="162"/>
      <c r="L41" s="162"/>
      <c r="M41" s="162"/>
    </row>
    <row r="42" spans="1:13" x14ac:dyDescent="0.3">
      <c r="A42" s="206"/>
      <c r="B42" s="161"/>
      <c r="C42" s="161"/>
      <c r="D42" s="161"/>
      <c r="E42" s="162"/>
      <c r="F42" s="163"/>
      <c r="G42" s="162"/>
      <c r="H42" s="162"/>
      <c r="I42" s="162"/>
      <c r="J42" s="162"/>
      <c r="K42" s="162"/>
      <c r="L42" s="162"/>
      <c r="M42" s="162"/>
    </row>
    <row r="43" spans="1:13" x14ac:dyDescent="0.3">
      <c r="A43" s="207"/>
      <c r="B43" s="161"/>
      <c r="C43" s="161"/>
      <c r="D43" s="161"/>
    </row>
    <row r="44" spans="1:13" x14ac:dyDescent="0.3">
      <c r="B44" s="161"/>
      <c r="C44" s="161"/>
      <c r="D44" s="161"/>
    </row>
    <row r="45" spans="1:13" x14ac:dyDescent="0.3">
      <c r="B45" s="161"/>
      <c r="C45" s="161"/>
      <c r="D45" s="161"/>
    </row>
    <row r="47" spans="1:13" x14ac:dyDescent="0.3">
      <c r="B47" s="161"/>
      <c r="C47" s="161"/>
      <c r="D47" s="161"/>
    </row>
    <row r="48" spans="1:13" x14ac:dyDescent="0.3">
      <c r="B48" s="208"/>
      <c r="C48" s="208"/>
      <c r="D48" s="161"/>
    </row>
    <row r="49" spans="2:4" x14ac:dyDescent="0.3">
      <c r="B49" s="161"/>
      <c r="C49" s="161"/>
      <c r="D49" s="209"/>
    </row>
    <row r="51" spans="2:4" x14ac:dyDescent="0.3">
      <c r="B51" s="161"/>
      <c r="C51" s="160"/>
      <c r="D51" s="209"/>
    </row>
    <row r="52" spans="2:4" x14ac:dyDescent="0.3">
      <c r="B52" s="209"/>
      <c r="C52" s="209"/>
      <c r="D52" s="209"/>
    </row>
    <row r="53" spans="2:4" x14ac:dyDescent="0.3">
      <c r="D53" s="210"/>
    </row>
    <row r="54" spans="2:4" x14ac:dyDescent="0.3">
      <c r="B54" s="211"/>
      <c r="C54" s="211"/>
    </row>
    <row r="55" spans="2:4" x14ac:dyDescent="0.3">
      <c r="B55" s="210"/>
      <c r="C55" s="210"/>
    </row>
  </sheetData>
  <mergeCells count="3">
    <mergeCell ref="A1:K1"/>
    <mergeCell ref="A2:K2"/>
    <mergeCell ref="H6:J6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E2F1F-6BF0-4B42-B82A-2BB815B0D91B}">
  <dimension ref="A1:AP63"/>
  <sheetViews>
    <sheetView zoomScaleNormal="100" zoomScaleSheetLayoutView="100" workbookViewId="0">
      <pane xSplit="1" ySplit="9" topLeftCell="B10" activePane="bottomRight" state="frozen"/>
      <selection activeCell="K44" sqref="K44"/>
      <selection pane="topRight" activeCell="K44" sqref="K44"/>
      <selection pane="bottomLeft" activeCell="K44" sqref="K44"/>
      <selection pane="bottomRight" activeCell="K44" sqref="K44"/>
    </sheetView>
  </sheetViews>
  <sheetFormatPr defaultColWidth="10.7109375" defaultRowHeight="13.2" x14ac:dyDescent="0.25"/>
  <cols>
    <col min="1" max="1" width="20.28515625" style="30" bestFit="1" customWidth="1"/>
    <col min="2" max="2" width="2.85546875" style="30" customWidth="1"/>
    <col min="3" max="3" width="13.85546875" style="30" customWidth="1"/>
    <col min="4" max="4" width="2.85546875" style="30" customWidth="1"/>
    <col min="5" max="5" width="19.5703125" style="31" bestFit="1" customWidth="1"/>
    <col min="6" max="6" width="2.85546875" style="31" customWidth="1"/>
    <col min="7" max="7" width="19.5703125" style="31" bestFit="1" customWidth="1"/>
    <col min="8" max="8" width="2.85546875" style="31" customWidth="1"/>
    <col min="9" max="9" width="16.42578125" style="31" customWidth="1"/>
    <col min="10" max="10" width="2.85546875" style="31" customWidth="1"/>
    <col min="11" max="11" width="17.85546875" style="31" bestFit="1" customWidth="1"/>
    <col min="12" max="12" width="2.85546875" style="31" customWidth="1"/>
    <col min="13" max="13" width="19.5703125" style="31" bestFit="1" customWidth="1"/>
    <col min="14" max="14" width="7.5703125" style="31" customWidth="1"/>
    <col min="15" max="15" width="21.7109375" style="31" bestFit="1" customWidth="1"/>
    <col min="16" max="16" width="3.7109375" style="31" customWidth="1"/>
    <col min="17" max="17" width="10.28515625" style="31" bestFit="1" customWidth="1"/>
    <col min="18" max="18" width="3" style="31" customWidth="1"/>
    <col min="19" max="19" width="18.140625" style="31" bestFit="1" customWidth="1"/>
    <col min="20" max="20" width="3.42578125" style="31" customWidth="1"/>
    <col min="21" max="21" width="16.42578125" style="31" bestFit="1" customWidth="1"/>
    <col min="22" max="22" width="3.140625" style="31" customWidth="1"/>
    <col min="23" max="23" width="17" style="31" bestFit="1" customWidth="1"/>
    <col min="24" max="24" width="3.42578125" style="31" customWidth="1"/>
    <col min="25" max="25" width="17.85546875" style="31" bestFit="1" customWidth="1"/>
    <col min="26" max="26" width="3.7109375" style="31" customWidth="1"/>
    <col min="27" max="27" width="16.5703125" style="31" bestFit="1" customWidth="1"/>
    <col min="28" max="28" width="7" style="31" customWidth="1"/>
    <col min="29" max="29" width="21.7109375" style="31" bestFit="1" customWidth="1"/>
    <col min="30" max="30" width="3.85546875" style="31" customWidth="1"/>
    <col min="31" max="31" width="10.7109375" style="31"/>
    <col min="32" max="32" width="3.85546875" style="31" customWidth="1"/>
    <col min="33" max="33" width="18.140625" style="31" bestFit="1" customWidth="1"/>
    <col min="34" max="34" width="4.140625" style="31" customWidth="1"/>
    <col min="35" max="35" width="17.85546875" style="31" bestFit="1" customWidth="1"/>
    <col min="36" max="36" width="3.85546875" style="31" customWidth="1"/>
    <col min="37" max="37" width="17" style="31" bestFit="1" customWidth="1"/>
    <col min="38" max="38" width="4.140625" style="31" customWidth="1"/>
    <col min="39" max="39" width="17.85546875" style="31" bestFit="1" customWidth="1"/>
    <col min="40" max="40" width="4.140625" style="31" customWidth="1"/>
    <col min="41" max="41" width="16.5703125" style="31" bestFit="1" customWidth="1"/>
    <col min="42" max="42" width="16.28515625" style="31" customWidth="1"/>
    <col min="43" max="16384" width="10.7109375" style="31"/>
  </cols>
  <sheetData>
    <row r="1" spans="1:42" ht="17.399999999999999" x14ac:dyDescent="0.3">
      <c r="A1" s="43" t="s">
        <v>92</v>
      </c>
      <c r="B1" s="43"/>
      <c r="C1" s="44"/>
      <c r="D1" s="44"/>
      <c r="E1" s="44"/>
      <c r="F1" s="44"/>
      <c r="G1" s="44"/>
      <c r="H1" s="44"/>
      <c r="I1" s="44"/>
      <c r="J1" s="44"/>
      <c r="K1" s="45"/>
      <c r="L1" s="44"/>
      <c r="M1" s="45"/>
    </row>
    <row r="2" spans="1:42" s="28" customFormat="1" ht="18" x14ac:dyDescent="0.35">
      <c r="A2" s="43" t="s">
        <v>53</v>
      </c>
      <c r="B2" s="43"/>
      <c r="C2" s="44"/>
      <c r="D2" s="44"/>
      <c r="E2" s="44"/>
      <c r="F2" s="44"/>
      <c r="G2" s="44"/>
      <c r="H2" s="44"/>
      <c r="I2" s="44"/>
      <c r="J2" s="44"/>
      <c r="K2" s="45"/>
      <c r="L2" s="44"/>
      <c r="M2" s="45"/>
    </row>
    <row r="3" spans="1:42" s="27" customFormat="1" ht="15.6" x14ac:dyDescent="0.3">
      <c r="A3" s="46" t="s">
        <v>93</v>
      </c>
      <c r="B3" s="46"/>
      <c r="C3" s="47"/>
      <c r="D3" s="47"/>
      <c r="E3" s="47"/>
      <c r="F3" s="47"/>
      <c r="G3" s="47"/>
      <c r="H3" s="47"/>
      <c r="I3" s="47"/>
      <c r="J3" s="47"/>
      <c r="K3" s="48"/>
      <c r="L3" s="47"/>
      <c r="M3" s="48"/>
    </row>
    <row r="4" spans="1:42" s="3" customFormat="1" ht="13.8" x14ac:dyDescent="0.25">
      <c r="A4" s="10" t="s">
        <v>96</v>
      </c>
      <c r="B4" s="6"/>
      <c r="C4" s="6"/>
      <c r="D4" s="6"/>
      <c r="E4" s="9"/>
      <c r="F4" s="9"/>
      <c r="G4" s="9"/>
      <c r="H4" s="9"/>
      <c r="I4" s="9"/>
      <c r="J4" s="9"/>
      <c r="K4" s="9"/>
      <c r="L4" s="9"/>
      <c r="M4" s="9"/>
    </row>
    <row r="5" spans="1:42" s="3" customFormat="1" ht="13.8" x14ac:dyDescent="0.25">
      <c r="A5" s="157"/>
      <c r="C5" s="6"/>
      <c r="D5" s="114" t="s">
        <v>54</v>
      </c>
      <c r="E5" s="34">
        <v>45301</v>
      </c>
      <c r="F5" s="9"/>
      <c r="G5" s="9"/>
      <c r="H5" s="9"/>
      <c r="I5" s="9"/>
      <c r="J5" s="9"/>
      <c r="K5" s="9"/>
      <c r="L5" s="9"/>
      <c r="M5" s="9"/>
      <c r="O5" s="10" t="s">
        <v>94</v>
      </c>
      <c r="AC5" s="10" t="s">
        <v>95</v>
      </c>
    </row>
    <row r="6" spans="1:42" s="3" customFormat="1" ht="13.8" x14ac:dyDescent="0.25"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</row>
    <row r="7" spans="1:42" s="29" customFormat="1" ht="13.8" x14ac:dyDescent="0.25">
      <c r="A7" s="26" t="s">
        <v>1</v>
      </c>
      <c r="B7" s="26"/>
      <c r="C7" s="26" t="s">
        <v>2</v>
      </c>
      <c r="D7" s="26"/>
      <c r="E7" s="9"/>
      <c r="F7" s="9"/>
      <c r="G7" s="9"/>
      <c r="H7" s="9"/>
      <c r="I7" s="9"/>
      <c r="J7" s="9"/>
      <c r="K7" s="9"/>
      <c r="L7" s="9"/>
      <c r="M7" s="9"/>
      <c r="O7" s="26" t="s">
        <v>1</v>
      </c>
      <c r="P7" s="26"/>
      <c r="Q7" s="26" t="s">
        <v>2</v>
      </c>
      <c r="R7" s="26"/>
      <c r="S7" s="9"/>
      <c r="T7" s="9"/>
      <c r="U7" s="9"/>
      <c r="V7" s="9"/>
      <c r="W7" s="9"/>
      <c r="X7" s="9"/>
      <c r="Y7" s="9"/>
      <c r="Z7" s="9"/>
      <c r="AA7" s="9"/>
      <c r="AC7" s="26" t="s">
        <v>1</v>
      </c>
      <c r="AD7" s="26"/>
      <c r="AE7" s="26" t="s">
        <v>2</v>
      </c>
      <c r="AF7" s="26"/>
      <c r="AG7" s="9"/>
      <c r="AH7" s="9"/>
      <c r="AI7" s="9"/>
      <c r="AJ7" s="9"/>
      <c r="AK7" s="9"/>
      <c r="AL7" s="9"/>
      <c r="AM7" s="9"/>
      <c r="AN7" s="9"/>
      <c r="AO7" s="9"/>
    </row>
    <row r="8" spans="1:42" s="3" customFormat="1" ht="13.8" x14ac:dyDescent="0.25">
      <c r="A8" s="7" t="s">
        <v>46</v>
      </c>
      <c r="B8" s="7"/>
      <c r="C8" s="7" t="s">
        <v>48</v>
      </c>
      <c r="D8" s="7"/>
      <c r="E8" s="9" t="s">
        <v>50</v>
      </c>
      <c r="F8" s="9"/>
      <c r="G8" s="8"/>
      <c r="H8" s="9"/>
      <c r="I8" s="9" t="s">
        <v>5</v>
      </c>
      <c r="J8" s="9"/>
      <c r="K8" s="9" t="s">
        <v>9</v>
      </c>
      <c r="L8" s="9"/>
      <c r="M8" s="9"/>
      <c r="N8" s="9"/>
      <c r="O8" s="7" t="s">
        <v>46</v>
      </c>
      <c r="P8" s="7"/>
      <c r="Q8" s="7" t="s">
        <v>48</v>
      </c>
      <c r="R8" s="7"/>
      <c r="S8" s="9" t="s">
        <v>50</v>
      </c>
      <c r="T8" s="9"/>
      <c r="U8" s="8"/>
      <c r="V8" s="9"/>
      <c r="W8" s="9" t="s">
        <v>5</v>
      </c>
      <c r="X8" s="9"/>
      <c r="Y8" s="9" t="s">
        <v>9</v>
      </c>
      <c r="Z8" s="9"/>
      <c r="AA8" s="9"/>
      <c r="AC8" s="7" t="s">
        <v>46</v>
      </c>
      <c r="AD8" s="7"/>
      <c r="AE8" s="7" t="s">
        <v>48</v>
      </c>
      <c r="AF8" s="7"/>
      <c r="AG8" s="9" t="s">
        <v>50</v>
      </c>
      <c r="AH8" s="9"/>
      <c r="AI8" s="8"/>
      <c r="AJ8" s="9"/>
      <c r="AK8" s="9" t="s">
        <v>5</v>
      </c>
      <c r="AL8" s="9"/>
      <c r="AM8" s="9" t="s">
        <v>9</v>
      </c>
      <c r="AN8" s="9"/>
      <c r="AO8" s="9"/>
    </row>
    <row r="9" spans="1:42" s="3" customFormat="1" ht="13.8" x14ac:dyDescent="0.25">
      <c r="A9" s="10" t="s">
        <v>47</v>
      </c>
      <c r="B9" s="10"/>
      <c r="C9" s="10" t="s">
        <v>49</v>
      </c>
      <c r="D9" s="10"/>
      <c r="E9" s="8" t="s">
        <v>51</v>
      </c>
      <c r="F9" s="8"/>
      <c r="G9" s="8" t="s">
        <v>52</v>
      </c>
      <c r="H9" s="8"/>
      <c r="I9" s="8" t="s">
        <v>3</v>
      </c>
      <c r="J9" s="8"/>
      <c r="K9" s="8" t="s">
        <v>3</v>
      </c>
      <c r="L9" s="8"/>
      <c r="M9" s="8" t="s">
        <v>4</v>
      </c>
      <c r="N9" s="8"/>
      <c r="O9" s="10" t="s">
        <v>47</v>
      </c>
      <c r="P9" s="10"/>
      <c r="Q9" s="10" t="s">
        <v>49</v>
      </c>
      <c r="R9" s="10"/>
      <c r="S9" s="8" t="s">
        <v>51</v>
      </c>
      <c r="T9" s="8"/>
      <c r="U9" s="8" t="s">
        <v>52</v>
      </c>
      <c r="V9" s="8"/>
      <c r="W9" s="8" t="s">
        <v>3</v>
      </c>
      <c r="X9" s="8"/>
      <c r="Y9" s="8" t="s">
        <v>3</v>
      </c>
      <c r="Z9" s="8"/>
      <c r="AA9" s="8" t="s">
        <v>4</v>
      </c>
      <c r="AC9" s="10" t="s">
        <v>47</v>
      </c>
      <c r="AD9" s="10"/>
      <c r="AE9" s="10" t="s">
        <v>49</v>
      </c>
      <c r="AF9" s="10"/>
      <c r="AG9" s="8" t="s">
        <v>51</v>
      </c>
      <c r="AH9" s="8"/>
      <c r="AI9" s="8" t="s">
        <v>52</v>
      </c>
      <c r="AJ9" s="8"/>
      <c r="AK9" s="8" t="s">
        <v>3</v>
      </c>
      <c r="AL9" s="8"/>
      <c r="AM9" s="8" t="s">
        <v>3</v>
      </c>
      <c r="AN9" s="8"/>
      <c r="AO9" s="8" t="s">
        <v>4</v>
      </c>
    </row>
    <row r="10" spans="1:42" ht="13.8" x14ac:dyDescent="0.25">
      <c r="A10" s="6">
        <v>45458</v>
      </c>
      <c r="B10" s="6"/>
      <c r="C10" s="6" t="s">
        <v>105</v>
      </c>
      <c r="D10" s="6"/>
      <c r="E10" s="4">
        <f>+S10+AG10</f>
        <v>0</v>
      </c>
      <c r="F10" s="38"/>
      <c r="G10" s="4">
        <f>+U10+AI10</f>
        <v>1207508.125</v>
      </c>
      <c r="H10" s="38"/>
      <c r="I10" s="4">
        <f>+W10+AK10</f>
        <v>0</v>
      </c>
      <c r="J10" s="38"/>
      <c r="K10" s="100">
        <f>+Y10+AM10</f>
        <v>-1207508.125</v>
      </c>
      <c r="L10" s="38"/>
      <c r="M10" s="100">
        <f>+AA10+AO10</f>
        <v>0</v>
      </c>
      <c r="N10" s="4"/>
      <c r="O10" s="6">
        <v>45458</v>
      </c>
      <c r="P10" s="6"/>
      <c r="Q10" s="6"/>
      <c r="R10" s="6"/>
      <c r="S10" s="4">
        <v>0</v>
      </c>
      <c r="T10" s="38"/>
      <c r="U10" s="4">
        <f>+(S55*Q11)/360*DAYS360(E5,O10)</f>
        <v>372290.625</v>
      </c>
      <c r="V10" s="38"/>
      <c r="W10" s="4">
        <v>0</v>
      </c>
      <c r="X10" s="38"/>
      <c r="Y10" s="100">
        <f>-U10</f>
        <v>-372290.625</v>
      </c>
      <c r="Z10" s="38"/>
      <c r="AA10" s="4">
        <f>SUM(S10:Z10)</f>
        <v>0</v>
      </c>
      <c r="AB10" s="32"/>
      <c r="AC10" s="6">
        <v>45458</v>
      </c>
      <c r="AD10" s="6"/>
      <c r="AE10" s="6"/>
      <c r="AF10" s="6"/>
      <c r="AG10" s="4">
        <v>0</v>
      </c>
      <c r="AH10" s="38"/>
      <c r="AI10" s="4">
        <f>+((SUM(AG14:AG29)*AE11)+SUM(AG30:AG38)*AE30)/360*DAYS360(E5,AC10)</f>
        <v>835217.5</v>
      </c>
      <c r="AJ10" s="38"/>
      <c r="AK10" s="4">
        <v>0</v>
      </c>
      <c r="AL10" s="38"/>
      <c r="AM10" s="100">
        <f>-AI10</f>
        <v>-835217.5</v>
      </c>
      <c r="AN10" s="38"/>
      <c r="AO10" s="4">
        <f t="shared" ref="AO10:AO39" si="0">SUM(AG10:AN10)</f>
        <v>0</v>
      </c>
      <c r="AP10" s="32"/>
    </row>
    <row r="11" spans="1:42" ht="13.8" x14ac:dyDescent="0.25">
      <c r="A11" s="6">
        <v>45641</v>
      </c>
      <c r="B11" s="6"/>
      <c r="C11" s="6" t="s">
        <v>105</v>
      </c>
      <c r="D11" s="6"/>
      <c r="E11" s="4">
        <f t="shared" ref="E11:E53" si="1">+S11+AG11</f>
        <v>0</v>
      </c>
      <c r="F11" s="38"/>
      <c r="G11" s="4">
        <f t="shared" ref="G11:G53" si="2">+U11+AI11</f>
        <v>1402267.5</v>
      </c>
      <c r="H11" s="38"/>
      <c r="I11" s="4">
        <f t="shared" ref="I11:I53" si="3">+W11+AK11</f>
        <v>0</v>
      </c>
      <c r="J11" s="38"/>
      <c r="K11" s="100">
        <f t="shared" ref="K11:K53" si="4">+Y11+AM11</f>
        <v>-1402267.5</v>
      </c>
      <c r="L11" s="38"/>
      <c r="M11" s="100">
        <f t="shared" ref="M11:M53" si="5">+AA11+AO11</f>
        <v>0</v>
      </c>
      <c r="N11" s="3"/>
      <c r="O11" s="6">
        <f t="shared" ref="O11:O53" si="6">EDATE(O10,6)</f>
        <v>45641</v>
      </c>
      <c r="P11" s="6"/>
      <c r="Q11" s="35">
        <v>5.2499999999999998E-2</v>
      </c>
      <c r="R11" s="6"/>
      <c r="S11" s="4">
        <v>0</v>
      </c>
      <c r="T11" s="38"/>
      <c r="U11" s="4">
        <f>S11*Q11/2+U12</f>
        <v>432337.5</v>
      </c>
      <c r="V11" s="38"/>
      <c r="W11" s="4">
        <v>0</v>
      </c>
      <c r="X11" s="38"/>
      <c r="Y11" s="100">
        <f>-U11</f>
        <v>-432337.5</v>
      </c>
      <c r="Z11" s="38"/>
      <c r="AA11" s="4">
        <f t="shared" ref="AA11:AA45" si="7">SUM(S11:Z11)</f>
        <v>0</v>
      </c>
      <c r="AC11" s="6">
        <f t="shared" ref="AC11:AC53" si="8">EDATE(AC10,6)</f>
        <v>45641</v>
      </c>
      <c r="AD11" s="6"/>
      <c r="AE11" s="35">
        <v>7.1999999999999995E-2</v>
      </c>
      <c r="AF11" s="6"/>
      <c r="AG11" s="4">
        <v>0</v>
      </c>
      <c r="AH11" s="38"/>
      <c r="AI11" s="4">
        <f t="shared" ref="AI11:AI39" si="9">AG11*AE11/2+AI12</f>
        <v>969930</v>
      </c>
      <c r="AJ11" s="38"/>
      <c r="AK11" s="4">
        <v>0</v>
      </c>
      <c r="AL11" s="38"/>
      <c r="AM11" s="100">
        <f t="shared" ref="AM11" si="10">-AI11</f>
        <v>-969930</v>
      </c>
      <c r="AN11" s="38"/>
      <c r="AO11" s="4">
        <f t="shared" si="0"/>
        <v>0</v>
      </c>
    </row>
    <row r="12" spans="1:42" ht="13.8" x14ac:dyDescent="0.25">
      <c r="A12" s="6">
        <v>45823</v>
      </c>
      <c r="B12" s="6"/>
      <c r="C12" s="6" t="s">
        <v>105</v>
      </c>
      <c r="D12" s="6"/>
      <c r="E12" s="4">
        <f t="shared" si="1"/>
        <v>0</v>
      </c>
      <c r="F12" s="38"/>
      <c r="G12" s="4">
        <f t="shared" si="2"/>
        <v>1402267.5</v>
      </c>
      <c r="H12" s="38"/>
      <c r="I12" s="4">
        <f t="shared" si="3"/>
        <v>0</v>
      </c>
      <c r="J12" s="38"/>
      <c r="K12" s="100">
        <f t="shared" si="4"/>
        <v>-568697.38</v>
      </c>
      <c r="L12" s="38"/>
      <c r="M12" s="100">
        <f t="shared" si="5"/>
        <v>833570.12</v>
      </c>
      <c r="N12" s="4"/>
      <c r="O12" s="6">
        <f t="shared" si="6"/>
        <v>45823</v>
      </c>
      <c r="P12" s="6"/>
      <c r="Q12" s="35">
        <v>5.2499999999999998E-2</v>
      </c>
      <c r="R12" s="6"/>
      <c r="S12" s="4">
        <v>0</v>
      </c>
      <c r="T12" s="38"/>
      <c r="U12" s="4">
        <f t="shared" ref="U12:U53" si="11">S12*Q12/2+U13</f>
        <v>432337.5</v>
      </c>
      <c r="V12" s="38"/>
      <c r="W12" s="4">
        <v>0</v>
      </c>
      <c r="X12" s="38"/>
      <c r="Y12" s="100">
        <v>-175336.88</v>
      </c>
      <c r="Z12" s="38"/>
      <c r="AA12" s="4">
        <f t="shared" si="7"/>
        <v>257000.62</v>
      </c>
      <c r="AB12" s="32"/>
      <c r="AC12" s="6">
        <f t="shared" si="8"/>
        <v>45823</v>
      </c>
      <c r="AD12" s="6"/>
      <c r="AE12" s="35">
        <v>7.1999999999999995E-2</v>
      </c>
      <c r="AF12" s="6"/>
      <c r="AG12" s="4">
        <v>0</v>
      </c>
      <c r="AH12" s="38"/>
      <c r="AI12" s="4">
        <f t="shared" si="9"/>
        <v>969930</v>
      </c>
      <c r="AJ12" s="38"/>
      <c r="AK12" s="4">
        <v>0</v>
      </c>
      <c r="AL12" s="38"/>
      <c r="AM12" s="100">
        <v>-393360.5</v>
      </c>
      <c r="AN12" s="38"/>
      <c r="AO12" s="4">
        <f t="shared" si="0"/>
        <v>576569.5</v>
      </c>
      <c r="AP12" s="32"/>
    </row>
    <row r="13" spans="1:42" ht="13.8" x14ac:dyDescent="0.25">
      <c r="A13" s="6">
        <v>46006</v>
      </c>
      <c r="B13" s="6"/>
      <c r="C13" s="6" t="s">
        <v>105</v>
      </c>
      <c r="D13" s="6"/>
      <c r="E13" s="4">
        <f t="shared" si="1"/>
        <v>0</v>
      </c>
      <c r="F13" s="38"/>
      <c r="G13" s="4">
        <f t="shared" si="2"/>
        <v>1402267.5</v>
      </c>
      <c r="H13" s="38"/>
      <c r="I13" s="4">
        <f t="shared" si="3"/>
        <v>0</v>
      </c>
      <c r="J13" s="38"/>
      <c r="K13" s="4">
        <f t="shared" si="4"/>
        <v>0</v>
      </c>
      <c r="L13" s="38"/>
      <c r="M13" s="100">
        <f t="shared" si="5"/>
        <v>1402267.5</v>
      </c>
      <c r="N13" s="3"/>
      <c r="O13" s="6">
        <f t="shared" si="6"/>
        <v>46006</v>
      </c>
      <c r="P13" s="6"/>
      <c r="Q13" s="35">
        <v>5.2499999999999998E-2</v>
      </c>
      <c r="R13" s="6"/>
      <c r="S13" s="4">
        <v>0</v>
      </c>
      <c r="T13" s="38"/>
      <c r="U13" s="4">
        <f t="shared" si="11"/>
        <v>432337.5</v>
      </c>
      <c r="V13" s="38"/>
      <c r="W13" s="4">
        <v>0</v>
      </c>
      <c r="X13" s="38"/>
      <c r="Y13" s="4">
        <v>0</v>
      </c>
      <c r="Z13" s="38"/>
      <c r="AA13" s="4">
        <f t="shared" si="7"/>
        <v>432337.5</v>
      </c>
      <c r="AC13" s="6">
        <f t="shared" si="8"/>
        <v>46006</v>
      </c>
      <c r="AD13" s="6"/>
      <c r="AE13" s="35">
        <v>7.1999999999999995E-2</v>
      </c>
      <c r="AF13" s="6"/>
      <c r="AG13" s="4">
        <v>0</v>
      </c>
      <c r="AH13" s="38"/>
      <c r="AI13" s="4">
        <f t="shared" si="9"/>
        <v>969930</v>
      </c>
      <c r="AJ13" s="38"/>
      <c r="AK13" s="4">
        <v>0</v>
      </c>
      <c r="AL13" s="38"/>
      <c r="AM13" s="4">
        <v>0</v>
      </c>
      <c r="AN13" s="38"/>
      <c r="AO13" s="4">
        <f t="shared" si="0"/>
        <v>969930</v>
      </c>
    </row>
    <row r="14" spans="1:42" ht="13.8" x14ac:dyDescent="0.25">
      <c r="A14" s="6">
        <v>46188</v>
      </c>
      <c r="B14" s="6"/>
      <c r="C14" s="6" t="s">
        <v>105</v>
      </c>
      <c r="D14" s="6"/>
      <c r="E14" s="4">
        <f t="shared" si="1"/>
        <v>1075000</v>
      </c>
      <c r="F14" s="38"/>
      <c r="G14" s="4">
        <f t="shared" si="2"/>
        <v>1402267.5</v>
      </c>
      <c r="H14" s="38"/>
      <c r="I14" s="4">
        <f t="shared" si="3"/>
        <v>0</v>
      </c>
      <c r="J14" s="38"/>
      <c r="K14" s="4">
        <f t="shared" si="4"/>
        <v>0</v>
      </c>
      <c r="L14" s="38"/>
      <c r="M14" s="100">
        <f t="shared" si="5"/>
        <v>2477267.5</v>
      </c>
      <c r="N14" s="4"/>
      <c r="O14" s="6">
        <f t="shared" si="6"/>
        <v>46188</v>
      </c>
      <c r="P14" s="6"/>
      <c r="Q14" s="35">
        <v>5.2499999999999998E-2</v>
      </c>
      <c r="R14" s="6"/>
      <c r="S14" s="4">
        <v>0</v>
      </c>
      <c r="T14" s="38"/>
      <c r="U14" s="4">
        <f t="shared" si="11"/>
        <v>432337.5</v>
      </c>
      <c r="V14" s="38"/>
      <c r="W14" s="4">
        <v>0</v>
      </c>
      <c r="X14" s="38"/>
      <c r="Y14" s="4">
        <v>0</v>
      </c>
      <c r="Z14" s="38"/>
      <c r="AA14" s="4">
        <f t="shared" si="7"/>
        <v>432337.5</v>
      </c>
      <c r="AB14" s="32"/>
      <c r="AC14" s="6">
        <f t="shared" si="8"/>
        <v>46188</v>
      </c>
      <c r="AD14" s="6"/>
      <c r="AE14" s="35">
        <v>7.1999999999999995E-2</v>
      </c>
      <c r="AF14" s="6"/>
      <c r="AG14" s="4">
        <v>1075000</v>
      </c>
      <c r="AH14" s="38"/>
      <c r="AI14" s="4">
        <f t="shared" si="9"/>
        <v>969930</v>
      </c>
      <c r="AJ14" s="38"/>
      <c r="AK14" s="4">
        <v>0</v>
      </c>
      <c r="AL14" s="38"/>
      <c r="AM14" s="4">
        <v>0</v>
      </c>
      <c r="AN14" s="38"/>
      <c r="AO14" s="4">
        <f t="shared" si="0"/>
        <v>2044930</v>
      </c>
      <c r="AP14" s="32"/>
    </row>
    <row r="15" spans="1:42" ht="13.8" x14ac:dyDescent="0.25">
      <c r="A15" s="6">
        <v>46371</v>
      </c>
      <c r="B15" s="6"/>
      <c r="C15" s="6" t="s">
        <v>105</v>
      </c>
      <c r="D15" s="6"/>
      <c r="E15" s="4">
        <f t="shared" si="1"/>
        <v>0</v>
      </c>
      <c r="F15" s="38"/>
      <c r="G15" s="4">
        <f t="shared" si="2"/>
        <v>1363567.5</v>
      </c>
      <c r="H15" s="38"/>
      <c r="I15" s="4">
        <f t="shared" si="3"/>
        <v>0</v>
      </c>
      <c r="J15" s="38"/>
      <c r="K15" s="4">
        <f t="shared" si="4"/>
        <v>0</v>
      </c>
      <c r="L15" s="38"/>
      <c r="M15" s="100">
        <f t="shared" si="5"/>
        <v>1363567.5</v>
      </c>
      <c r="N15" s="3"/>
      <c r="O15" s="6">
        <f t="shared" si="6"/>
        <v>46371</v>
      </c>
      <c r="P15" s="6"/>
      <c r="Q15" s="35">
        <v>5.2499999999999998E-2</v>
      </c>
      <c r="R15" s="6"/>
      <c r="S15" s="4">
        <v>0</v>
      </c>
      <c r="T15" s="38"/>
      <c r="U15" s="4">
        <f t="shared" si="11"/>
        <v>432337.5</v>
      </c>
      <c r="V15" s="38"/>
      <c r="W15" s="4">
        <v>0</v>
      </c>
      <c r="X15" s="38"/>
      <c r="Y15" s="4">
        <v>0</v>
      </c>
      <c r="Z15" s="38"/>
      <c r="AA15" s="4">
        <f t="shared" si="7"/>
        <v>432337.5</v>
      </c>
      <c r="AC15" s="6">
        <f t="shared" si="8"/>
        <v>46371</v>
      </c>
      <c r="AD15" s="6"/>
      <c r="AE15" s="35">
        <v>7.1999999999999995E-2</v>
      </c>
      <c r="AF15" s="6"/>
      <c r="AG15" s="4">
        <v>0</v>
      </c>
      <c r="AH15" s="38"/>
      <c r="AI15" s="4">
        <f t="shared" si="9"/>
        <v>931230</v>
      </c>
      <c r="AJ15" s="38"/>
      <c r="AK15" s="4">
        <v>0</v>
      </c>
      <c r="AL15" s="38"/>
      <c r="AM15" s="4">
        <v>0</v>
      </c>
      <c r="AN15" s="38"/>
      <c r="AO15" s="4">
        <f t="shared" si="0"/>
        <v>931230</v>
      </c>
    </row>
    <row r="16" spans="1:42" ht="13.8" x14ac:dyDescent="0.25">
      <c r="A16" s="6">
        <v>46553</v>
      </c>
      <c r="B16" s="6"/>
      <c r="C16" s="6" t="s">
        <v>105</v>
      </c>
      <c r="D16" s="6"/>
      <c r="E16" s="4">
        <f t="shared" si="1"/>
        <v>1185000</v>
      </c>
      <c r="F16" s="38"/>
      <c r="G16" s="4">
        <f t="shared" si="2"/>
        <v>1363567.5</v>
      </c>
      <c r="H16" s="38"/>
      <c r="I16" s="4">
        <f t="shared" si="3"/>
        <v>0</v>
      </c>
      <c r="J16" s="38"/>
      <c r="K16" s="4">
        <f t="shared" si="4"/>
        <v>0</v>
      </c>
      <c r="L16" s="38"/>
      <c r="M16" s="100">
        <f t="shared" si="5"/>
        <v>2548567.5</v>
      </c>
      <c r="N16" s="4"/>
      <c r="O16" s="6">
        <f t="shared" si="6"/>
        <v>46553</v>
      </c>
      <c r="P16" s="6"/>
      <c r="Q16" s="35">
        <v>5.2499999999999998E-2</v>
      </c>
      <c r="R16" s="6"/>
      <c r="S16" s="4">
        <v>0</v>
      </c>
      <c r="T16" s="38"/>
      <c r="U16" s="4">
        <f t="shared" si="11"/>
        <v>432337.5</v>
      </c>
      <c r="V16" s="38"/>
      <c r="W16" s="4">
        <v>0</v>
      </c>
      <c r="X16" s="38"/>
      <c r="Y16" s="4">
        <v>0</v>
      </c>
      <c r="Z16" s="38"/>
      <c r="AA16" s="4">
        <f t="shared" si="7"/>
        <v>432337.5</v>
      </c>
      <c r="AB16" s="32"/>
      <c r="AC16" s="6">
        <f t="shared" si="8"/>
        <v>46553</v>
      </c>
      <c r="AD16" s="6"/>
      <c r="AE16" s="35">
        <v>7.1999999999999995E-2</v>
      </c>
      <c r="AF16" s="6"/>
      <c r="AG16" s="4">
        <v>1185000</v>
      </c>
      <c r="AH16" s="38"/>
      <c r="AI16" s="4">
        <f t="shared" si="9"/>
        <v>931230</v>
      </c>
      <c r="AJ16" s="38"/>
      <c r="AK16" s="4">
        <v>0</v>
      </c>
      <c r="AL16" s="38"/>
      <c r="AM16" s="4">
        <v>0</v>
      </c>
      <c r="AN16" s="38"/>
      <c r="AO16" s="4">
        <f t="shared" si="0"/>
        <v>2116230</v>
      </c>
      <c r="AP16" s="32"/>
    </row>
    <row r="17" spans="1:42" ht="13.8" x14ac:dyDescent="0.25">
      <c r="A17" s="6">
        <v>46736</v>
      </c>
      <c r="B17" s="6"/>
      <c r="C17" s="6" t="s">
        <v>105</v>
      </c>
      <c r="D17" s="6"/>
      <c r="E17" s="4">
        <f t="shared" si="1"/>
        <v>0</v>
      </c>
      <c r="F17" s="38"/>
      <c r="G17" s="4">
        <f t="shared" si="2"/>
        <v>1320907.5</v>
      </c>
      <c r="H17" s="38"/>
      <c r="I17" s="4">
        <f t="shared" si="3"/>
        <v>0</v>
      </c>
      <c r="J17" s="38"/>
      <c r="K17" s="4">
        <f t="shared" si="4"/>
        <v>0</v>
      </c>
      <c r="L17" s="38"/>
      <c r="M17" s="100">
        <f t="shared" si="5"/>
        <v>1320907.5</v>
      </c>
      <c r="N17" s="3"/>
      <c r="O17" s="6">
        <f t="shared" si="6"/>
        <v>46736</v>
      </c>
      <c r="P17" s="6"/>
      <c r="Q17" s="35">
        <v>5.2499999999999998E-2</v>
      </c>
      <c r="R17" s="6"/>
      <c r="S17" s="4">
        <v>0</v>
      </c>
      <c r="T17" s="38"/>
      <c r="U17" s="4">
        <f t="shared" si="11"/>
        <v>432337.5</v>
      </c>
      <c r="V17" s="38"/>
      <c r="W17" s="4">
        <v>0</v>
      </c>
      <c r="X17" s="38"/>
      <c r="Y17" s="4">
        <v>0</v>
      </c>
      <c r="Z17" s="38"/>
      <c r="AA17" s="4">
        <f t="shared" si="7"/>
        <v>432337.5</v>
      </c>
      <c r="AC17" s="6">
        <f t="shared" si="8"/>
        <v>46736</v>
      </c>
      <c r="AD17" s="6"/>
      <c r="AE17" s="35">
        <v>7.1999999999999995E-2</v>
      </c>
      <c r="AF17" s="6"/>
      <c r="AG17" s="4">
        <v>0</v>
      </c>
      <c r="AH17" s="38"/>
      <c r="AI17" s="4">
        <f t="shared" si="9"/>
        <v>888570</v>
      </c>
      <c r="AJ17" s="38"/>
      <c r="AK17" s="4">
        <v>0</v>
      </c>
      <c r="AL17" s="38"/>
      <c r="AM17" s="4">
        <v>0</v>
      </c>
      <c r="AN17" s="38"/>
      <c r="AO17" s="4">
        <f t="shared" si="0"/>
        <v>888570</v>
      </c>
    </row>
    <row r="18" spans="1:42" ht="13.8" x14ac:dyDescent="0.25">
      <c r="A18" s="6">
        <v>46919</v>
      </c>
      <c r="B18" s="6"/>
      <c r="C18" s="6" t="s">
        <v>105</v>
      </c>
      <c r="D18" s="6"/>
      <c r="E18" s="4">
        <f t="shared" si="1"/>
        <v>1310000</v>
      </c>
      <c r="F18" s="38"/>
      <c r="G18" s="4">
        <f t="shared" si="2"/>
        <v>1320907.5</v>
      </c>
      <c r="H18" s="38"/>
      <c r="I18" s="4">
        <f t="shared" si="3"/>
        <v>0</v>
      </c>
      <c r="J18" s="38"/>
      <c r="K18" s="4">
        <f t="shared" si="4"/>
        <v>0</v>
      </c>
      <c r="L18" s="38"/>
      <c r="M18" s="100">
        <f t="shared" si="5"/>
        <v>2630907.5</v>
      </c>
      <c r="N18" s="4"/>
      <c r="O18" s="6">
        <f t="shared" si="6"/>
        <v>46919</v>
      </c>
      <c r="P18" s="6"/>
      <c r="Q18" s="35">
        <v>5.2499999999999998E-2</v>
      </c>
      <c r="R18" s="6"/>
      <c r="S18" s="4">
        <v>0</v>
      </c>
      <c r="T18" s="38"/>
      <c r="U18" s="4">
        <f t="shared" si="11"/>
        <v>432337.5</v>
      </c>
      <c r="V18" s="38"/>
      <c r="W18" s="4">
        <v>0</v>
      </c>
      <c r="X18" s="38"/>
      <c r="Y18" s="4">
        <v>0</v>
      </c>
      <c r="Z18" s="38"/>
      <c r="AA18" s="4">
        <f t="shared" si="7"/>
        <v>432337.5</v>
      </c>
      <c r="AB18" s="32"/>
      <c r="AC18" s="6">
        <f t="shared" si="8"/>
        <v>46919</v>
      </c>
      <c r="AD18" s="6"/>
      <c r="AE18" s="35">
        <v>7.1999999999999995E-2</v>
      </c>
      <c r="AF18" s="6"/>
      <c r="AG18" s="4">
        <v>1310000</v>
      </c>
      <c r="AH18" s="38"/>
      <c r="AI18" s="4">
        <f t="shared" si="9"/>
        <v>888570</v>
      </c>
      <c r="AJ18" s="38"/>
      <c r="AK18" s="4">
        <v>0</v>
      </c>
      <c r="AL18" s="38"/>
      <c r="AM18" s="4">
        <v>0</v>
      </c>
      <c r="AN18" s="38"/>
      <c r="AO18" s="4">
        <f t="shared" si="0"/>
        <v>2198570</v>
      </c>
      <c r="AP18" s="32"/>
    </row>
    <row r="19" spans="1:42" ht="13.8" x14ac:dyDescent="0.25">
      <c r="A19" s="6">
        <v>47102</v>
      </c>
      <c r="B19" s="6"/>
      <c r="C19" s="6" t="s">
        <v>105</v>
      </c>
      <c r="D19" s="6"/>
      <c r="E19" s="4">
        <f t="shared" si="1"/>
        <v>0</v>
      </c>
      <c r="F19" s="38"/>
      <c r="G19" s="4">
        <f t="shared" si="2"/>
        <v>1273747.5</v>
      </c>
      <c r="H19" s="38"/>
      <c r="I19" s="4">
        <f t="shared" si="3"/>
        <v>0</v>
      </c>
      <c r="J19" s="38"/>
      <c r="K19" s="4">
        <f t="shared" si="4"/>
        <v>0</v>
      </c>
      <c r="L19" s="38"/>
      <c r="M19" s="100">
        <f t="shared" si="5"/>
        <v>1273747.5</v>
      </c>
      <c r="N19" s="3"/>
      <c r="O19" s="6">
        <f t="shared" si="6"/>
        <v>47102</v>
      </c>
      <c r="P19" s="6"/>
      <c r="Q19" s="35">
        <v>5.2499999999999998E-2</v>
      </c>
      <c r="R19" s="6"/>
      <c r="S19" s="4">
        <v>0</v>
      </c>
      <c r="T19" s="38"/>
      <c r="U19" s="4">
        <f t="shared" si="11"/>
        <v>432337.5</v>
      </c>
      <c r="V19" s="38"/>
      <c r="W19" s="4">
        <v>0</v>
      </c>
      <c r="X19" s="38"/>
      <c r="Y19" s="4">
        <v>0</v>
      </c>
      <c r="Z19" s="38"/>
      <c r="AA19" s="4">
        <f t="shared" si="7"/>
        <v>432337.5</v>
      </c>
      <c r="AC19" s="6">
        <f t="shared" si="8"/>
        <v>47102</v>
      </c>
      <c r="AD19" s="6"/>
      <c r="AE19" s="35">
        <v>7.1999999999999995E-2</v>
      </c>
      <c r="AF19" s="6"/>
      <c r="AG19" s="4">
        <v>0</v>
      </c>
      <c r="AH19" s="38"/>
      <c r="AI19" s="4">
        <f t="shared" si="9"/>
        <v>841410</v>
      </c>
      <c r="AJ19" s="38"/>
      <c r="AK19" s="4">
        <v>0</v>
      </c>
      <c r="AL19" s="38"/>
      <c r="AM19" s="4">
        <v>0</v>
      </c>
      <c r="AN19" s="38"/>
      <c r="AO19" s="4">
        <f t="shared" si="0"/>
        <v>841410</v>
      </c>
    </row>
    <row r="20" spans="1:42" ht="13.8" x14ac:dyDescent="0.25">
      <c r="A20" s="6">
        <v>47284</v>
      </c>
      <c r="B20" s="6"/>
      <c r="C20" s="6" t="s">
        <v>105</v>
      </c>
      <c r="D20" s="6"/>
      <c r="E20" s="4">
        <f t="shared" si="1"/>
        <v>1445000</v>
      </c>
      <c r="F20" s="38"/>
      <c r="G20" s="4">
        <f t="shared" si="2"/>
        <v>1273747.5</v>
      </c>
      <c r="H20" s="38"/>
      <c r="I20" s="4">
        <f t="shared" si="3"/>
        <v>0</v>
      </c>
      <c r="J20" s="38"/>
      <c r="K20" s="4">
        <f t="shared" si="4"/>
        <v>0</v>
      </c>
      <c r="L20" s="38"/>
      <c r="M20" s="100">
        <f t="shared" si="5"/>
        <v>2718747.5</v>
      </c>
      <c r="N20" s="4"/>
      <c r="O20" s="6">
        <f t="shared" si="6"/>
        <v>47284</v>
      </c>
      <c r="P20" s="6"/>
      <c r="Q20" s="35">
        <v>5.2499999999999998E-2</v>
      </c>
      <c r="R20" s="6"/>
      <c r="S20" s="4">
        <v>0</v>
      </c>
      <c r="T20" s="38"/>
      <c r="U20" s="4">
        <f t="shared" si="11"/>
        <v>432337.5</v>
      </c>
      <c r="V20" s="38"/>
      <c r="W20" s="4">
        <v>0</v>
      </c>
      <c r="X20" s="38"/>
      <c r="Y20" s="4">
        <v>0</v>
      </c>
      <c r="Z20" s="38"/>
      <c r="AA20" s="4">
        <f t="shared" si="7"/>
        <v>432337.5</v>
      </c>
      <c r="AC20" s="6">
        <f t="shared" si="8"/>
        <v>47284</v>
      </c>
      <c r="AD20" s="6"/>
      <c r="AE20" s="35">
        <v>7.1999999999999995E-2</v>
      </c>
      <c r="AF20" s="6"/>
      <c r="AG20" s="4">
        <v>1445000</v>
      </c>
      <c r="AH20" s="38"/>
      <c r="AI20" s="4">
        <f t="shared" si="9"/>
        <v>841410</v>
      </c>
      <c r="AJ20" s="38"/>
      <c r="AK20" s="4">
        <v>0</v>
      </c>
      <c r="AL20" s="38"/>
      <c r="AM20" s="4">
        <v>0</v>
      </c>
      <c r="AN20" s="38"/>
      <c r="AO20" s="4">
        <f t="shared" si="0"/>
        <v>2286410</v>
      </c>
    </row>
    <row r="21" spans="1:42" ht="13.8" x14ac:dyDescent="0.25">
      <c r="A21" s="6">
        <v>47467</v>
      </c>
      <c r="B21" s="6"/>
      <c r="C21" s="6" t="s">
        <v>105</v>
      </c>
      <c r="D21" s="6"/>
      <c r="E21" s="4">
        <f t="shared" si="1"/>
        <v>0</v>
      </c>
      <c r="F21" s="38"/>
      <c r="G21" s="4">
        <f t="shared" si="2"/>
        <v>1221727.5</v>
      </c>
      <c r="H21" s="38"/>
      <c r="I21" s="4">
        <f t="shared" si="3"/>
        <v>0</v>
      </c>
      <c r="J21" s="38"/>
      <c r="K21" s="4">
        <f t="shared" si="4"/>
        <v>0</v>
      </c>
      <c r="L21" s="38"/>
      <c r="M21" s="100">
        <f t="shared" si="5"/>
        <v>1221727.5</v>
      </c>
      <c r="N21" s="3"/>
      <c r="O21" s="6">
        <f t="shared" si="6"/>
        <v>47467</v>
      </c>
      <c r="P21" s="6"/>
      <c r="Q21" s="35">
        <v>5.2499999999999998E-2</v>
      </c>
      <c r="R21" s="6"/>
      <c r="S21" s="4">
        <v>0</v>
      </c>
      <c r="T21" s="38"/>
      <c r="U21" s="4">
        <f t="shared" si="11"/>
        <v>432337.5</v>
      </c>
      <c r="V21" s="38"/>
      <c r="W21" s="4">
        <v>0</v>
      </c>
      <c r="X21" s="38"/>
      <c r="Y21" s="4">
        <v>0</v>
      </c>
      <c r="Z21" s="38"/>
      <c r="AA21" s="4">
        <f t="shared" si="7"/>
        <v>432337.5</v>
      </c>
      <c r="AC21" s="6">
        <f t="shared" si="8"/>
        <v>47467</v>
      </c>
      <c r="AD21" s="6"/>
      <c r="AE21" s="35">
        <v>7.1999999999999995E-2</v>
      </c>
      <c r="AF21" s="6"/>
      <c r="AG21" s="4">
        <v>0</v>
      </c>
      <c r="AH21" s="38"/>
      <c r="AI21" s="4">
        <f t="shared" si="9"/>
        <v>789390</v>
      </c>
      <c r="AJ21" s="38"/>
      <c r="AK21" s="4">
        <v>0</v>
      </c>
      <c r="AL21" s="38"/>
      <c r="AM21" s="4">
        <v>0</v>
      </c>
      <c r="AN21" s="38"/>
      <c r="AO21" s="4">
        <f t="shared" si="0"/>
        <v>789390</v>
      </c>
    </row>
    <row r="22" spans="1:42" ht="13.8" x14ac:dyDescent="0.25">
      <c r="A22" s="6">
        <v>47649</v>
      </c>
      <c r="B22" s="6"/>
      <c r="C22" s="6" t="s">
        <v>105</v>
      </c>
      <c r="D22" s="6"/>
      <c r="E22" s="4">
        <f t="shared" si="1"/>
        <v>1590000</v>
      </c>
      <c r="F22" s="38"/>
      <c r="G22" s="4">
        <f t="shared" si="2"/>
        <v>1221727.5</v>
      </c>
      <c r="H22" s="38"/>
      <c r="I22" s="4">
        <f t="shared" si="3"/>
        <v>0</v>
      </c>
      <c r="J22" s="38"/>
      <c r="K22" s="4">
        <f t="shared" si="4"/>
        <v>0</v>
      </c>
      <c r="L22" s="38"/>
      <c r="M22" s="100">
        <f t="shared" si="5"/>
        <v>2811727.5</v>
      </c>
      <c r="N22" s="4"/>
      <c r="O22" s="6">
        <f t="shared" si="6"/>
        <v>47649</v>
      </c>
      <c r="P22" s="6"/>
      <c r="Q22" s="35">
        <v>5.2499999999999998E-2</v>
      </c>
      <c r="R22" s="6"/>
      <c r="S22" s="4">
        <v>0</v>
      </c>
      <c r="T22" s="38"/>
      <c r="U22" s="4">
        <f t="shared" si="11"/>
        <v>432337.5</v>
      </c>
      <c r="V22" s="38"/>
      <c r="W22" s="4">
        <v>0</v>
      </c>
      <c r="X22" s="38"/>
      <c r="Y22" s="4">
        <v>0</v>
      </c>
      <c r="Z22" s="38"/>
      <c r="AA22" s="4">
        <f t="shared" si="7"/>
        <v>432337.5</v>
      </c>
      <c r="AC22" s="6">
        <f t="shared" si="8"/>
        <v>47649</v>
      </c>
      <c r="AD22" s="6"/>
      <c r="AE22" s="35">
        <v>7.1999999999999995E-2</v>
      </c>
      <c r="AF22" s="6"/>
      <c r="AG22" s="4">
        <v>1590000</v>
      </c>
      <c r="AH22" s="38"/>
      <c r="AI22" s="4">
        <f t="shared" si="9"/>
        <v>789390</v>
      </c>
      <c r="AJ22" s="38"/>
      <c r="AK22" s="4">
        <v>0</v>
      </c>
      <c r="AL22" s="38"/>
      <c r="AM22" s="4">
        <v>0</v>
      </c>
      <c r="AN22" s="38"/>
      <c r="AO22" s="4">
        <f t="shared" si="0"/>
        <v>2379390</v>
      </c>
    </row>
    <row r="23" spans="1:42" ht="13.8" x14ac:dyDescent="0.25">
      <c r="A23" s="6">
        <v>47832</v>
      </c>
      <c r="B23" s="6"/>
      <c r="C23" s="6" t="s">
        <v>105</v>
      </c>
      <c r="D23" s="6"/>
      <c r="E23" s="4">
        <f t="shared" si="1"/>
        <v>0</v>
      </c>
      <c r="F23" s="38"/>
      <c r="G23" s="4">
        <f t="shared" si="2"/>
        <v>1164487.5</v>
      </c>
      <c r="H23" s="38"/>
      <c r="I23" s="4">
        <f t="shared" si="3"/>
        <v>0</v>
      </c>
      <c r="J23" s="38"/>
      <c r="K23" s="4">
        <f t="shared" si="4"/>
        <v>0</v>
      </c>
      <c r="L23" s="38"/>
      <c r="M23" s="100">
        <f t="shared" si="5"/>
        <v>1164487.5</v>
      </c>
      <c r="N23" s="3"/>
      <c r="O23" s="6">
        <f t="shared" si="6"/>
        <v>47832</v>
      </c>
      <c r="P23" s="6"/>
      <c r="Q23" s="35">
        <v>5.2499999999999998E-2</v>
      </c>
      <c r="R23" s="6"/>
      <c r="S23" s="4">
        <v>0</v>
      </c>
      <c r="T23" s="38"/>
      <c r="U23" s="4">
        <f t="shared" si="11"/>
        <v>432337.5</v>
      </c>
      <c r="V23" s="38"/>
      <c r="W23" s="4">
        <v>0</v>
      </c>
      <c r="X23" s="38"/>
      <c r="Y23" s="4">
        <v>0</v>
      </c>
      <c r="Z23" s="38"/>
      <c r="AA23" s="4">
        <f t="shared" si="7"/>
        <v>432337.5</v>
      </c>
      <c r="AC23" s="6">
        <f t="shared" si="8"/>
        <v>47832</v>
      </c>
      <c r="AD23" s="6"/>
      <c r="AE23" s="35">
        <v>7.1999999999999995E-2</v>
      </c>
      <c r="AF23" s="6"/>
      <c r="AG23" s="4">
        <v>0</v>
      </c>
      <c r="AH23" s="38"/>
      <c r="AI23" s="4">
        <f t="shared" si="9"/>
        <v>732150</v>
      </c>
      <c r="AJ23" s="38"/>
      <c r="AK23" s="4">
        <v>0</v>
      </c>
      <c r="AL23" s="38"/>
      <c r="AM23" s="4">
        <v>0</v>
      </c>
      <c r="AN23" s="38"/>
      <c r="AO23" s="4">
        <f t="shared" si="0"/>
        <v>732150</v>
      </c>
    </row>
    <row r="24" spans="1:42" ht="13.8" x14ac:dyDescent="0.25">
      <c r="A24" s="6">
        <v>48014</v>
      </c>
      <c r="B24" s="6"/>
      <c r="C24" s="6" t="s">
        <v>105</v>
      </c>
      <c r="D24" s="6"/>
      <c r="E24" s="4">
        <f t="shared" si="1"/>
        <v>1750000</v>
      </c>
      <c r="F24" s="38"/>
      <c r="G24" s="4">
        <f t="shared" si="2"/>
        <v>1164487.5</v>
      </c>
      <c r="H24" s="38"/>
      <c r="I24" s="4">
        <f t="shared" si="3"/>
        <v>0</v>
      </c>
      <c r="J24" s="38"/>
      <c r="K24" s="4">
        <f t="shared" si="4"/>
        <v>0</v>
      </c>
      <c r="L24" s="38"/>
      <c r="M24" s="100">
        <f t="shared" si="5"/>
        <v>2914487.5</v>
      </c>
      <c r="N24" s="4"/>
      <c r="O24" s="6">
        <f t="shared" si="6"/>
        <v>48014</v>
      </c>
      <c r="P24" s="6"/>
      <c r="Q24" s="35">
        <v>5.2499999999999998E-2</v>
      </c>
      <c r="R24" s="6"/>
      <c r="S24" s="4">
        <v>0</v>
      </c>
      <c r="T24" s="38"/>
      <c r="U24" s="4">
        <f t="shared" si="11"/>
        <v>432337.5</v>
      </c>
      <c r="V24" s="38"/>
      <c r="W24" s="4">
        <v>0</v>
      </c>
      <c r="X24" s="38"/>
      <c r="Y24" s="4">
        <v>0</v>
      </c>
      <c r="Z24" s="38"/>
      <c r="AA24" s="4">
        <f t="shared" si="7"/>
        <v>432337.5</v>
      </c>
      <c r="AC24" s="6">
        <f t="shared" si="8"/>
        <v>48014</v>
      </c>
      <c r="AD24" s="6"/>
      <c r="AE24" s="35">
        <v>7.1999999999999995E-2</v>
      </c>
      <c r="AF24" s="6"/>
      <c r="AG24" s="4">
        <v>1750000</v>
      </c>
      <c r="AH24" s="38"/>
      <c r="AI24" s="4">
        <f t="shared" si="9"/>
        <v>732150</v>
      </c>
      <c r="AJ24" s="38"/>
      <c r="AK24" s="4">
        <v>0</v>
      </c>
      <c r="AL24" s="38"/>
      <c r="AM24" s="4">
        <v>0</v>
      </c>
      <c r="AN24" s="38"/>
      <c r="AO24" s="4">
        <f t="shared" si="0"/>
        <v>2482150</v>
      </c>
    </row>
    <row r="25" spans="1:42" ht="13.8" x14ac:dyDescent="0.25">
      <c r="A25" s="6">
        <v>48197</v>
      </c>
      <c r="B25" s="6"/>
      <c r="C25" s="6" t="s">
        <v>105</v>
      </c>
      <c r="D25" s="6"/>
      <c r="E25" s="4">
        <f t="shared" si="1"/>
        <v>0</v>
      </c>
      <c r="F25" s="38"/>
      <c r="G25" s="4">
        <f t="shared" si="2"/>
        <v>1101487.5</v>
      </c>
      <c r="H25" s="38"/>
      <c r="I25" s="4">
        <f t="shared" si="3"/>
        <v>0</v>
      </c>
      <c r="J25" s="38"/>
      <c r="K25" s="4">
        <f t="shared" si="4"/>
        <v>0</v>
      </c>
      <c r="L25" s="38"/>
      <c r="M25" s="100">
        <f t="shared" si="5"/>
        <v>1101487.5</v>
      </c>
      <c r="N25" s="3"/>
      <c r="O25" s="6">
        <f t="shared" si="6"/>
        <v>48197</v>
      </c>
      <c r="P25" s="6"/>
      <c r="Q25" s="35">
        <v>5.2499999999999998E-2</v>
      </c>
      <c r="R25" s="6"/>
      <c r="S25" s="4">
        <v>0</v>
      </c>
      <c r="T25" s="38"/>
      <c r="U25" s="4">
        <f t="shared" si="11"/>
        <v>432337.5</v>
      </c>
      <c r="V25" s="38"/>
      <c r="W25" s="4">
        <v>0</v>
      </c>
      <c r="X25" s="38"/>
      <c r="Y25" s="4">
        <v>0</v>
      </c>
      <c r="Z25" s="38"/>
      <c r="AA25" s="4">
        <f t="shared" si="7"/>
        <v>432337.5</v>
      </c>
      <c r="AC25" s="6">
        <f t="shared" si="8"/>
        <v>48197</v>
      </c>
      <c r="AD25" s="6"/>
      <c r="AE25" s="35">
        <v>7.1999999999999995E-2</v>
      </c>
      <c r="AF25" s="6"/>
      <c r="AG25" s="4">
        <v>0</v>
      </c>
      <c r="AH25" s="38"/>
      <c r="AI25" s="4">
        <f t="shared" si="9"/>
        <v>669150</v>
      </c>
      <c r="AJ25" s="38"/>
      <c r="AK25" s="4">
        <v>0</v>
      </c>
      <c r="AL25" s="38"/>
      <c r="AM25" s="4">
        <v>0</v>
      </c>
      <c r="AN25" s="38"/>
      <c r="AO25" s="4">
        <f t="shared" si="0"/>
        <v>669150</v>
      </c>
    </row>
    <row r="26" spans="1:42" ht="13.8" x14ac:dyDescent="0.25">
      <c r="A26" s="6">
        <v>48380</v>
      </c>
      <c r="B26" s="6"/>
      <c r="C26" s="6" t="s">
        <v>105</v>
      </c>
      <c r="D26" s="6"/>
      <c r="E26" s="4">
        <f t="shared" si="1"/>
        <v>1920000</v>
      </c>
      <c r="F26" s="38"/>
      <c r="G26" s="4">
        <f t="shared" si="2"/>
        <v>1101487.5</v>
      </c>
      <c r="H26" s="38"/>
      <c r="I26" s="4">
        <f t="shared" si="3"/>
        <v>0</v>
      </c>
      <c r="J26" s="38"/>
      <c r="K26" s="4">
        <f t="shared" si="4"/>
        <v>0</v>
      </c>
      <c r="L26" s="38"/>
      <c r="M26" s="100">
        <f t="shared" si="5"/>
        <v>3021487.5</v>
      </c>
      <c r="N26" s="4"/>
      <c r="O26" s="6">
        <f t="shared" si="6"/>
        <v>48380</v>
      </c>
      <c r="P26" s="6"/>
      <c r="Q26" s="35">
        <v>5.2499999999999998E-2</v>
      </c>
      <c r="R26" s="6"/>
      <c r="S26" s="4">
        <v>0</v>
      </c>
      <c r="T26" s="38"/>
      <c r="U26" s="4">
        <f t="shared" si="11"/>
        <v>432337.5</v>
      </c>
      <c r="V26" s="38"/>
      <c r="W26" s="4">
        <v>0</v>
      </c>
      <c r="X26" s="38"/>
      <c r="Y26" s="4">
        <v>0</v>
      </c>
      <c r="Z26" s="38"/>
      <c r="AA26" s="4">
        <f t="shared" si="7"/>
        <v>432337.5</v>
      </c>
      <c r="AC26" s="6">
        <f t="shared" si="8"/>
        <v>48380</v>
      </c>
      <c r="AD26" s="6"/>
      <c r="AE26" s="35">
        <v>7.1999999999999995E-2</v>
      </c>
      <c r="AF26" s="6"/>
      <c r="AG26" s="4">
        <v>1920000</v>
      </c>
      <c r="AH26" s="38"/>
      <c r="AI26" s="4">
        <f t="shared" si="9"/>
        <v>669150</v>
      </c>
      <c r="AJ26" s="38"/>
      <c r="AK26" s="4">
        <v>0</v>
      </c>
      <c r="AL26" s="38"/>
      <c r="AM26" s="4">
        <v>0</v>
      </c>
      <c r="AN26" s="38"/>
      <c r="AO26" s="4">
        <f t="shared" si="0"/>
        <v>2589150</v>
      </c>
    </row>
    <row r="27" spans="1:42" ht="13.8" x14ac:dyDescent="0.25">
      <c r="A27" s="6">
        <v>48563</v>
      </c>
      <c r="B27" s="6"/>
      <c r="C27" s="6" t="s">
        <v>105</v>
      </c>
      <c r="D27" s="6"/>
      <c r="E27" s="4">
        <f t="shared" si="1"/>
        <v>0</v>
      </c>
      <c r="F27" s="38"/>
      <c r="G27" s="4">
        <f t="shared" si="2"/>
        <v>1032367.5</v>
      </c>
      <c r="H27" s="38"/>
      <c r="I27" s="4">
        <f t="shared" si="3"/>
        <v>0</v>
      </c>
      <c r="J27" s="38"/>
      <c r="K27" s="4">
        <f t="shared" si="4"/>
        <v>0</v>
      </c>
      <c r="L27" s="38"/>
      <c r="M27" s="100">
        <f t="shared" si="5"/>
        <v>1032367.5</v>
      </c>
      <c r="N27" s="3"/>
      <c r="O27" s="6">
        <f t="shared" si="6"/>
        <v>48563</v>
      </c>
      <c r="P27" s="6"/>
      <c r="Q27" s="35">
        <v>5.2499999999999998E-2</v>
      </c>
      <c r="R27" s="6"/>
      <c r="S27" s="4">
        <v>0</v>
      </c>
      <c r="T27" s="38"/>
      <c r="U27" s="4">
        <f t="shared" si="11"/>
        <v>432337.5</v>
      </c>
      <c r="V27" s="38"/>
      <c r="W27" s="4">
        <v>0</v>
      </c>
      <c r="X27" s="38"/>
      <c r="Y27" s="4">
        <v>0</v>
      </c>
      <c r="Z27" s="38"/>
      <c r="AA27" s="4">
        <f t="shared" si="7"/>
        <v>432337.5</v>
      </c>
      <c r="AC27" s="6">
        <f t="shared" si="8"/>
        <v>48563</v>
      </c>
      <c r="AD27" s="6"/>
      <c r="AE27" s="35">
        <v>7.1999999999999995E-2</v>
      </c>
      <c r="AF27" s="6"/>
      <c r="AG27" s="4">
        <v>0</v>
      </c>
      <c r="AH27" s="38"/>
      <c r="AI27" s="4">
        <f t="shared" si="9"/>
        <v>600030</v>
      </c>
      <c r="AJ27" s="38"/>
      <c r="AK27" s="4">
        <v>0</v>
      </c>
      <c r="AL27" s="38"/>
      <c r="AM27" s="4">
        <v>0</v>
      </c>
      <c r="AN27" s="38"/>
      <c r="AO27" s="4">
        <f t="shared" si="0"/>
        <v>600030</v>
      </c>
    </row>
    <row r="28" spans="1:42" ht="13.8" x14ac:dyDescent="0.25">
      <c r="A28" s="6">
        <v>48745</v>
      </c>
      <c r="B28" s="6"/>
      <c r="C28" s="6" t="s">
        <v>105</v>
      </c>
      <c r="D28" s="6"/>
      <c r="E28" s="4">
        <f t="shared" si="1"/>
        <v>2105000</v>
      </c>
      <c r="F28" s="38"/>
      <c r="G28" s="4">
        <f t="shared" si="2"/>
        <v>1032367.5</v>
      </c>
      <c r="H28" s="38"/>
      <c r="I28" s="4">
        <f t="shared" si="3"/>
        <v>0</v>
      </c>
      <c r="J28" s="38"/>
      <c r="K28" s="4">
        <f t="shared" si="4"/>
        <v>0</v>
      </c>
      <c r="L28" s="38"/>
      <c r="M28" s="100">
        <f t="shared" si="5"/>
        <v>3137367.5</v>
      </c>
      <c r="N28" s="4"/>
      <c r="O28" s="6">
        <f t="shared" si="6"/>
        <v>48745</v>
      </c>
      <c r="P28" s="6"/>
      <c r="Q28" s="35">
        <v>5.2499999999999998E-2</v>
      </c>
      <c r="R28" s="6"/>
      <c r="S28" s="4">
        <v>0</v>
      </c>
      <c r="T28" s="38"/>
      <c r="U28" s="4">
        <f t="shared" si="11"/>
        <v>432337.5</v>
      </c>
      <c r="V28" s="38"/>
      <c r="W28" s="4">
        <v>0</v>
      </c>
      <c r="X28" s="38"/>
      <c r="Y28" s="4">
        <v>0</v>
      </c>
      <c r="Z28" s="38"/>
      <c r="AA28" s="4">
        <f t="shared" si="7"/>
        <v>432337.5</v>
      </c>
      <c r="AC28" s="6">
        <f t="shared" si="8"/>
        <v>48745</v>
      </c>
      <c r="AD28" s="6"/>
      <c r="AE28" s="35">
        <v>7.1999999999999995E-2</v>
      </c>
      <c r="AF28" s="6"/>
      <c r="AG28" s="4">
        <v>2105000</v>
      </c>
      <c r="AH28" s="38"/>
      <c r="AI28" s="4">
        <f t="shared" si="9"/>
        <v>600030</v>
      </c>
      <c r="AJ28" s="38"/>
      <c r="AK28" s="4">
        <v>0</v>
      </c>
      <c r="AL28" s="38"/>
      <c r="AM28" s="4">
        <v>0</v>
      </c>
      <c r="AN28" s="38"/>
      <c r="AO28" s="4">
        <f t="shared" si="0"/>
        <v>2705030</v>
      </c>
    </row>
    <row r="29" spans="1:42" ht="13.8" x14ac:dyDescent="0.25">
      <c r="A29" s="6">
        <v>48928</v>
      </c>
      <c r="B29" s="6"/>
      <c r="C29" s="6" t="s">
        <v>105</v>
      </c>
      <c r="D29" s="6"/>
      <c r="E29" s="4">
        <f t="shared" si="1"/>
        <v>0</v>
      </c>
      <c r="F29" s="38"/>
      <c r="G29" s="4">
        <f t="shared" si="2"/>
        <v>956587.5</v>
      </c>
      <c r="H29" s="38"/>
      <c r="I29" s="4">
        <f t="shared" si="3"/>
        <v>0</v>
      </c>
      <c r="J29" s="38"/>
      <c r="K29" s="4">
        <f t="shared" si="4"/>
        <v>0</v>
      </c>
      <c r="L29" s="38"/>
      <c r="M29" s="100">
        <f t="shared" si="5"/>
        <v>956587.5</v>
      </c>
      <c r="N29" s="3"/>
      <c r="O29" s="6">
        <f t="shared" si="6"/>
        <v>48928</v>
      </c>
      <c r="P29" s="6"/>
      <c r="Q29" s="35">
        <v>5.2499999999999998E-2</v>
      </c>
      <c r="R29" s="6"/>
      <c r="S29" s="4">
        <v>0</v>
      </c>
      <c r="T29" s="38"/>
      <c r="U29" s="4">
        <f t="shared" si="11"/>
        <v>432337.5</v>
      </c>
      <c r="V29" s="38"/>
      <c r="W29" s="4">
        <v>0</v>
      </c>
      <c r="X29" s="38"/>
      <c r="Y29" s="4">
        <v>0</v>
      </c>
      <c r="Z29" s="38"/>
      <c r="AA29" s="4">
        <f t="shared" si="7"/>
        <v>432337.5</v>
      </c>
      <c r="AC29" s="6">
        <f t="shared" si="8"/>
        <v>48928</v>
      </c>
      <c r="AD29" s="6"/>
      <c r="AE29" s="35">
        <v>7.1999999999999995E-2</v>
      </c>
      <c r="AF29" s="6"/>
      <c r="AG29" s="4">
        <v>0</v>
      </c>
      <c r="AH29" s="38"/>
      <c r="AI29" s="4">
        <f t="shared" si="9"/>
        <v>524250</v>
      </c>
      <c r="AJ29" s="38"/>
      <c r="AK29" s="4">
        <v>0</v>
      </c>
      <c r="AL29" s="38"/>
      <c r="AM29" s="4">
        <v>0</v>
      </c>
      <c r="AN29" s="38"/>
      <c r="AO29" s="4">
        <f t="shared" si="0"/>
        <v>524250</v>
      </c>
    </row>
    <row r="30" spans="1:42" ht="13.8" x14ac:dyDescent="0.25">
      <c r="A30" s="6">
        <v>49110</v>
      </c>
      <c r="B30" s="6"/>
      <c r="C30" s="6" t="s">
        <v>105</v>
      </c>
      <c r="D30" s="6"/>
      <c r="E30" s="4">
        <f t="shared" si="1"/>
        <v>2310000</v>
      </c>
      <c r="F30" s="38"/>
      <c r="G30" s="4">
        <f t="shared" si="2"/>
        <v>956587.5</v>
      </c>
      <c r="H30" s="38"/>
      <c r="I30" s="4">
        <f t="shared" si="3"/>
        <v>0</v>
      </c>
      <c r="J30" s="38"/>
      <c r="K30" s="4">
        <f t="shared" si="4"/>
        <v>0</v>
      </c>
      <c r="L30" s="38"/>
      <c r="M30" s="100">
        <f t="shared" si="5"/>
        <v>3266587.5</v>
      </c>
      <c r="N30" s="4"/>
      <c r="O30" s="6">
        <f t="shared" si="6"/>
        <v>49110</v>
      </c>
      <c r="P30" s="6"/>
      <c r="Q30" s="35">
        <v>5.2499999999999998E-2</v>
      </c>
      <c r="R30" s="6"/>
      <c r="S30" s="4">
        <v>0</v>
      </c>
      <c r="T30" s="38"/>
      <c r="U30" s="4">
        <f t="shared" si="11"/>
        <v>432337.5</v>
      </c>
      <c r="V30" s="38"/>
      <c r="W30" s="4">
        <v>0</v>
      </c>
      <c r="X30" s="38"/>
      <c r="Y30" s="4">
        <v>0</v>
      </c>
      <c r="Z30" s="38"/>
      <c r="AA30" s="4">
        <f t="shared" si="7"/>
        <v>432337.5</v>
      </c>
      <c r="AC30" s="6">
        <f t="shared" si="8"/>
        <v>49110</v>
      </c>
      <c r="AD30" s="6"/>
      <c r="AE30" s="35">
        <v>7.4999999999999997E-2</v>
      </c>
      <c r="AF30" s="6"/>
      <c r="AG30" s="4">
        <v>2310000</v>
      </c>
      <c r="AH30" s="38"/>
      <c r="AI30" s="4">
        <f t="shared" si="9"/>
        <v>524250</v>
      </c>
      <c r="AJ30" s="38"/>
      <c r="AK30" s="4">
        <v>0</v>
      </c>
      <c r="AL30" s="38"/>
      <c r="AM30" s="4">
        <v>0</v>
      </c>
      <c r="AN30" s="38"/>
      <c r="AO30" s="4">
        <f t="shared" si="0"/>
        <v>2834250</v>
      </c>
    </row>
    <row r="31" spans="1:42" ht="13.8" x14ac:dyDescent="0.25">
      <c r="A31" s="6">
        <v>49293</v>
      </c>
      <c r="B31" s="6"/>
      <c r="C31" s="6" t="s">
        <v>105</v>
      </c>
      <c r="D31" s="6"/>
      <c r="E31" s="4">
        <f t="shared" si="1"/>
        <v>0</v>
      </c>
      <c r="F31" s="38"/>
      <c r="G31" s="4">
        <f t="shared" si="2"/>
        <v>869962.5</v>
      </c>
      <c r="H31" s="38"/>
      <c r="I31" s="4">
        <f t="shared" si="3"/>
        <v>0</v>
      </c>
      <c r="J31" s="38"/>
      <c r="K31" s="4">
        <f t="shared" si="4"/>
        <v>0</v>
      </c>
      <c r="L31" s="38"/>
      <c r="M31" s="100">
        <f t="shared" si="5"/>
        <v>869962.5</v>
      </c>
      <c r="N31" s="3"/>
      <c r="O31" s="6">
        <f t="shared" si="6"/>
        <v>49293</v>
      </c>
      <c r="P31" s="6"/>
      <c r="Q31" s="35">
        <v>5.2499999999999998E-2</v>
      </c>
      <c r="R31" s="6"/>
      <c r="S31" s="4">
        <v>0</v>
      </c>
      <c r="T31" s="38"/>
      <c r="U31" s="4">
        <f t="shared" si="11"/>
        <v>432337.5</v>
      </c>
      <c r="V31" s="38"/>
      <c r="W31" s="4">
        <v>0</v>
      </c>
      <c r="X31" s="38"/>
      <c r="Y31" s="4">
        <v>0</v>
      </c>
      <c r="Z31" s="38"/>
      <c r="AA31" s="4">
        <f t="shared" si="7"/>
        <v>432337.5</v>
      </c>
      <c r="AC31" s="6">
        <f t="shared" si="8"/>
        <v>49293</v>
      </c>
      <c r="AD31" s="6"/>
      <c r="AE31" s="35">
        <v>7.4999999999999997E-2</v>
      </c>
      <c r="AF31" s="6"/>
      <c r="AG31" s="4">
        <v>0</v>
      </c>
      <c r="AH31" s="38"/>
      <c r="AI31" s="4">
        <f t="shared" si="9"/>
        <v>437625</v>
      </c>
      <c r="AJ31" s="38"/>
      <c r="AK31" s="4">
        <v>0</v>
      </c>
      <c r="AL31" s="38"/>
      <c r="AM31" s="4">
        <v>0</v>
      </c>
      <c r="AN31" s="38"/>
      <c r="AO31" s="4">
        <f t="shared" si="0"/>
        <v>437625</v>
      </c>
    </row>
    <row r="32" spans="1:42" ht="13.8" x14ac:dyDescent="0.25">
      <c r="A32" s="6">
        <v>49475</v>
      </c>
      <c r="B32" s="6"/>
      <c r="C32" s="6" t="s">
        <v>105</v>
      </c>
      <c r="D32" s="6"/>
      <c r="E32" s="4">
        <f t="shared" si="1"/>
        <v>2535000</v>
      </c>
      <c r="F32" s="38"/>
      <c r="G32" s="4">
        <f t="shared" si="2"/>
        <v>869962.5</v>
      </c>
      <c r="H32" s="38"/>
      <c r="I32" s="4">
        <f t="shared" si="3"/>
        <v>0</v>
      </c>
      <c r="J32" s="38"/>
      <c r="K32" s="4">
        <f t="shared" si="4"/>
        <v>0</v>
      </c>
      <c r="L32" s="38"/>
      <c r="M32" s="100">
        <f t="shared" si="5"/>
        <v>3404962.5</v>
      </c>
      <c r="N32" s="4"/>
      <c r="O32" s="6">
        <f t="shared" si="6"/>
        <v>49475</v>
      </c>
      <c r="P32" s="6"/>
      <c r="Q32" s="35">
        <v>5.2499999999999998E-2</v>
      </c>
      <c r="R32" s="6"/>
      <c r="S32" s="4">
        <v>0</v>
      </c>
      <c r="T32" s="38"/>
      <c r="U32" s="4">
        <f t="shared" si="11"/>
        <v>432337.5</v>
      </c>
      <c r="V32" s="38"/>
      <c r="W32" s="4">
        <v>0</v>
      </c>
      <c r="X32" s="38"/>
      <c r="Y32" s="4">
        <v>0</v>
      </c>
      <c r="Z32" s="38"/>
      <c r="AA32" s="4">
        <f t="shared" si="7"/>
        <v>432337.5</v>
      </c>
      <c r="AC32" s="6">
        <f t="shared" si="8"/>
        <v>49475</v>
      </c>
      <c r="AD32" s="6"/>
      <c r="AE32" s="35">
        <v>7.4999999999999997E-2</v>
      </c>
      <c r="AF32" s="6"/>
      <c r="AG32" s="4">
        <v>2535000</v>
      </c>
      <c r="AH32" s="38"/>
      <c r="AI32" s="4">
        <f t="shared" si="9"/>
        <v>437625</v>
      </c>
      <c r="AJ32" s="38"/>
      <c r="AK32" s="4">
        <v>0</v>
      </c>
      <c r="AL32" s="38"/>
      <c r="AM32" s="4">
        <v>0</v>
      </c>
      <c r="AN32" s="38"/>
      <c r="AO32" s="4">
        <f t="shared" si="0"/>
        <v>2972625</v>
      </c>
    </row>
    <row r="33" spans="1:41" ht="13.8" x14ac:dyDescent="0.25">
      <c r="A33" s="6">
        <v>49658</v>
      </c>
      <c r="B33" s="6"/>
      <c r="C33" s="6" t="s">
        <v>105</v>
      </c>
      <c r="D33" s="6"/>
      <c r="E33" s="4">
        <f t="shared" si="1"/>
        <v>0</v>
      </c>
      <c r="F33" s="38"/>
      <c r="G33" s="4">
        <f t="shared" si="2"/>
        <v>774900</v>
      </c>
      <c r="H33" s="38"/>
      <c r="I33" s="4">
        <f t="shared" si="3"/>
        <v>0</v>
      </c>
      <c r="J33" s="38"/>
      <c r="K33" s="4">
        <f t="shared" si="4"/>
        <v>0</v>
      </c>
      <c r="L33" s="38"/>
      <c r="M33" s="100">
        <f t="shared" si="5"/>
        <v>774900</v>
      </c>
      <c r="N33" s="3"/>
      <c r="O33" s="6">
        <f t="shared" si="6"/>
        <v>49658</v>
      </c>
      <c r="P33" s="6"/>
      <c r="Q33" s="35">
        <v>5.2499999999999998E-2</v>
      </c>
      <c r="R33" s="6"/>
      <c r="S33" s="4">
        <v>0</v>
      </c>
      <c r="T33" s="38"/>
      <c r="U33" s="4">
        <f t="shared" si="11"/>
        <v>432337.5</v>
      </c>
      <c r="V33" s="38"/>
      <c r="W33" s="4">
        <v>0</v>
      </c>
      <c r="X33" s="38"/>
      <c r="Y33" s="4">
        <v>0</v>
      </c>
      <c r="Z33" s="38"/>
      <c r="AA33" s="4">
        <f t="shared" si="7"/>
        <v>432337.5</v>
      </c>
      <c r="AC33" s="6">
        <f t="shared" si="8"/>
        <v>49658</v>
      </c>
      <c r="AD33" s="6"/>
      <c r="AE33" s="35">
        <v>7.4999999999999997E-2</v>
      </c>
      <c r="AF33" s="6"/>
      <c r="AG33" s="4">
        <v>0</v>
      </c>
      <c r="AH33" s="38"/>
      <c r="AI33" s="4">
        <f t="shared" si="9"/>
        <v>342562.5</v>
      </c>
      <c r="AJ33" s="38"/>
      <c r="AK33" s="4">
        <v>0</v>
      </c>
      <c r="AL33" s="38"/>
      <c r="AM33" s="4">
        <v>0</v>
      </c>
      <c r="AN33" s="38"/>
      <c r="AO33" s="4">
        <f t="shared" si="0"/>
        <v>342562.5</v>
      </c>
    </row>
    <row r="34" spans="1:41" ht="13.8" x14ac:dyDescent="0.25">
      <c r="A34" s="6">
        <v>49841</v>
      </c>
      <c r="B34" s="6"/>
      <c r="C34" s="6" t="s">
        <v>105</v>
      </c>
      <c r="D34" s="6"/>
      <c r="E34" s="4">
        <f t="shared" si="1"/>
        <v>2775000</v>
      </c>
      <c r="F34" s="38"/>
      <c r="G34" s="4">
        <f t="shared" si="2"/>
        <v>774900</v>
      </c>
      <c r="H34" s="38"/>
      <c r="I34" s="4">
        <f t="shared" si="3"/>
        <v>0</v>
      </c>
      <c r="J34" s="38"/>
      <c r="K34" s="4">
        <f t="shared" si="4"/>
        <v>0</v>
      </c>
      <c r="L34" s="38"/>
      <c r="M34" s="100">
        <f t="shared" si="5"/>
        <v>3549900</v>
      </c>
      <c r="N34" s="4"/>
      <c r="O34" s="6">
        <f t="shared" si="6"/>
        <v>49841</v>
      </c>
      <c r="P34" s="6"/>
      <c r="Q34" s="35">
        <v>5.2499999999999998E-2</v>
      </c>
      <c r="R34" s="6"/>
      <c r="S34" s="4">
        <v>0</v>
      </c>
      <c r="T34" s="38"/>
      <c r="U34" s="4">
        <f t="shared" si="11"/>
        <v>432337.5</v>
      </c>
      <c r="V34" s="38"/>
      <c r="W34" s="4">
        <v>0</v>
      </c>
      <c r="X34" s="38"/>
      <c r="Y34" s="4">
        <v>0</v>
      </c>
      <c r="Z34" s="38"/>
      <c r="AA34" s="4">
        <f t="shared" si="7"/>
        <v>432337.5</v>
      </c>
      <c r="AC34" s="6">
        <f t="shared" si="8"/>
        <v>49841</v>
      </c>
      <c r="AD34" s="6"/>
      <c r="AE34" s="35">
        <v>7.4999999999999997E-2</v>
      </c>
      <c r="AF34" s="6"/>
      <c r="AG34" s="4">
        <v>2775000</v>
      </c>
      <c r="AH34" s="38"/>
      <c r="AI34" s="4">
        <f t="shared" si="9"/>
        <v>342562.5</v>
      </c>
      <c r="AJ34" s="38"/>
      <c r="AK34" s="4">
        <v>0</v>
      </c>
      <c r="AL34" s="38"/>
      <c r="AM34" s="4">
        <v>0</v>
      </c>
      <c r="AN34" s="38"/>
      <c r="AO34" s="4">
        <f t="shared" si="0"/>
        <v>3117562.5</v>
      </c>
    </row>
    <row r="35" spans="1:41" ht="13.8" x14ac:dyDescent="0.25">
      <c r="A35" s="6">
        <v>50024</v>
      </c>
      <c r="B35" s="6"/>
      <c r="C35" s="6" t="s">
        <v>105</v>
      </c>
      <c r="D35" s="6"/>
      <c r="E35" s="4">
        <f t="shared" si="1"/>
        <v>0</v>
      </c>
      <c r="F35" s="38"/>
      <c r="G35" s="4">
        <f t="shared" si="2"/>
        <v>670837.5</v>
      </c>
      <c r="H35" s="38"/>
      <c r="I35" s="4">
        <f t="shared" si="3"/>
        <v>0</v>
      </c>
      <c r="J35" s="38"/>
      <c r="K35" s="4">
        <f t="shared" si="4"/>
        <v>0</v>
      </c>
      <c r="L35" s="38"/>
      <c r="M35" s="100">
        <f t="shared" si="5"/>
        <v>670837.5</v>
      </c>
      <c r="N35" s="3"/>
      <c r="O35" s="6">
        <f t="shared" si="6"/>
        <v>50024</v>
      </c>
      <c r="P35" s="6"/>
      <c r="Q35" s="35">
        <v>5.2499999999999998E-2</v>
      </c>
      <c r="R35" s="6"/>
      <c r="S35" s="4">
        <v>0</v>
      </c>
      <c r="T35" s="38"/>
      <c r="U35" s="4">
        <f t="shared" si="11"/>
        <v>432337.5</v>
      </c>
      <c r="V35" s="38"/>
      <c r="W35" s="4">
        <v>0</v>
      </c>
      <c r="X35" s="38"/>
      <c r="Y35" s="4">
        <v>0</v>
      </c>
      <c r="Z35" s="38"/>
      <c r="AA35" s="4">
        <f t="shared" si="7"/>
        <v>432337.5</v>
      </c>
      <c r="AC35" s="6">
        <f t="shared" si="8"/>
        <v>50024</v>
      </c>
      <c r="AD35" s="6"/>
      <c r="AE35" s="35">
        <v>7.4999999999999997E-2</v>
      </c>
      <c r="AF35" s="6"/>
      <c r="AG35" s="4">
        <v>0</v>
      </c>
      <c r="AH35" s="38"/>
      <c r="AI35" s="4">
        <f t="shared" si="9"/>
        <v>238500</v>
      </c>
      <c r="AJ35" s="38"/>
      <c r="AK35" s="4">
        <v>0</v>
      </c>
      <c r="AL35" s="38"/>
      <c r="AM35" s="4">
        <v>0</v>
      </c>
      <c r="AN35" s="38"/>
      <c r="AO35" s="4">
        <f t="shared" si="0"/>
        <v>238500</v>
      </c>
    </row>
    <row r="36" spans="1:41" ht="13.8" x14ac:dyDescent="0.25">
      <c r="A36" s="6">
        <v>50206</v>
      </c>
      <c r="B36" s="6"/>
      <c r="C36" s="6" t="s">
        <v>105</v>
      </c>
      <c r="D36" s="6"/>
      <c r="E36" s="4">
        <f t="shared" si="1"/>
        <v>3040000</v>
      </c>
      <c r="F36" s="38"/>
      <c r="G36" s="4">
        <f t="shared" si="2"/>
        <v>670837.5</v>
      </c>
      <c r="H36" s="38"/>
      <c r="I36" s="4">
        <f t="shared" si="3"/>
        <v>0</v>
      </c>
      <c r="J36" s="38"/>
      <c r="K36" s="4">
        <f t="shared" si="4"/>
        <v>0</v>
      </c>
      <c r="L36" s="38"/>
      <c r="M36" s="100">
        <f t="shared" si="5"/>
        <v>3710837.5</v>
      </c>
      <c r="N36" s="4"/>
      <c r="O36" s="6">
        <f t="shared" si="6"/>
        <v>50206</v>
      </c>
      <c r="P36" s="6"/>
      <c r="Q36" s="35">
        <v>5.2499999999999998E-2</v>
      </c>
      <c r="R36" s="6"/>
      <c r="S36" s="4">
        <v>0</v>
      </c>
      <c r="T36" s="38"/>
      <c r="U36" s="4">
        <f t="shared" si="11"/>
        <v>432337.5</v>
      </c>
      <c r="V36" s="38"/>
      <c r="W36" s="4">
        <v>0</v>
      </c>
      <c r="X36" s="38"/>
      <c r="Y36" s="4">
        <v>0</v>
      </c>
      <c r="Z36" s="38"/>
      <c r="AA36" s="4">
        <f t="shared" si="7"/>
        <v>432337.5</v>
      </c>
      <c r="AC36" s="6">
        <f t="shared" si="8"/>
        <v>50206</v>
      </c>
      <c r="AD36" s="6"/>
      <c r="AE36" s="35">
        <v>7.4999999999999997E-2</v>
      </c>
      <c r="AF36" s="6"/>
      <c r="AG36" s="4">
        <v>3040000</v>
      </c>
      <c r="AH36" s="38"/>
      <c r="AI36" s="4">
        <f t="shared" si="9"/>
        <v>238500</v>
      </c>
      <c r="AJ36" s="38"/>
      <c r="AK36" s="4">
        <v>0</v>
      </c>
      <c r="AL36" s="38"/>
      <c r="AM36" s="4">
        <v>0</v>
      </c>
      <c r="AN36" s="38"/>
      <c r="AO36" s="4">
        <f t="shared" si="0"/>
        <v>3278500</v>
      </c>
    </row>
    <row r="37" spans="1:41" ht="13.8" x14ac:dyDescent="0.25">
      <c r="A37" s="6">
        <v>50389</v>
      </c>
      <c r="B37" s="6"/>
      <c r="C37" s="6" t="s">
        <v>105</v>
      </c>
      <c r="D37" s="6"/>
      <c r="E37" s="4">
        <f t="shared" si="1"/>
        <v>0</v>
      </c>
      <c r="F37" s="38"/>
      <c r="G37" s="4">
        <f t="shared" si="2"/>
        <v>556837.5</v>
      </c>
      <c r="H37" s="38"/>
      <c r="I37" s="4">
        <f t="shared" si="3"/>
        <v>0</v>
      </c>
      <c r="J37" s="38"/>
      <c r="K37" s="4">
        <f t="shared" si="4"/>
        <v>0</v>
      </c>
      <c r="L37" s="38"/>
      <c r="M37" s="100">
        <f t="shared" si="5"/>
        <v>556837.5</v>
      </c>
      <c r="N37" s="3"/>
      <c r="O37" s="6">
        <f t="shared" si="6"/>
        <v>50389</v>
      </c>
      <c r="P37" s="6"/>
      <c r="Q37" s="35">
        <v>5.2499999999999998E-2</v>
      </c>
      <c r="R37" s="6"/>
      <c r="S37" s="4">
        <v>0</v>
      </c>
      <c r="T37" s="38"/>
      <c r="U37" s="4">
        <f t="shared" si="11"/>
        <v>432337.5</v>
      </c>
      <c r="V37" s="38"/>
      <c r="W37" s="4">
        <v>0</v>
      </c>
      <c r="X37" s="38"/>
      <c r="Y37" s="4">
        <v>0</v>
      </c>
      <c r="Z37" s="38"/>
      <c r="AA37" s="4">
        <f t="shared" si="7"/>
        <v>432337.5</v>
      </c>
      <c r="AC37" s="6">
        <f t="shared" si="8"/>
        <v>50389</v>
      </c>
      <c r="AD37" s="6"/>
      <c r="AE37" s="35">
        <v>7.4999999999999997E-2</v>
      </c>
      <c r="AF37" s="6"/>
      <c r="AG37" s="4">
        <v>0</v>
      </c>
      <c r="AH37" s="38"/>
      <c r="AI37" s="4">
        <f t="shared" si="9"/>
        <v>124500</v>
      </c>
      <c r="AJ37" s="38"/>
      <c r="AK37" s="4">
        <v>0</v>
      </c>
      <c r="AL37" s="38"/>
      <c r="AM37" s="4">
        <v>0</v>
      </c>
      <c r="AN37" s="38"/>
      <c r="AO37" s="4">
        <f t="shared" si="0"/>
        <v>124500</v>
      </c>
    </row>
    <row r="38" spans="1:41" ht="13.8" x14ac:dyDescent="0.25">
      <c r="A38" s="6">
        <v>50571</v>
      </c>
      <c r="B38" s="6"/>
      <c r="C38" s="6" t="s">
        <v>105</v>
      </c>
      <c r="D38" s="6"/>
      <c r="E38" s="4">
        <f t="shared" si="1"/>
        <v>3320000</v>
      </c>
      <c r="F38" s="38"/>
      <c r="G38" s="4">
        <f t="shared" si="2"/>
        <v>556837.5</v>
      </c>
      <c r="H38" s="38"/>
      <c r="I38" s="4">
        <f t="shared" si="3"/>
        <v>0</v>
      </c>
      <c r="J38" s="38"/>
      <c r="K38" s="4">
        <f t="shared" si="4"/>
        <v>0</v>
      </c>
      <c r="L38" s="38"/>
      <c r="M38" s="100">
        <f t="shared" si="5"/>
        <v>3876837.5</v>
      </c>
      <c r="N38" s="4"/>
      <c r="O38" s="6">
        <f t="shared" si="6"/>
        <v>50571</v>
      </c>
      <c r="P38" s="6"/>
      <c r="Q38" s="35">
        <v>5.2499999999999998E-2</v>
      </c>
      <c r="R38" s="6"/>
      <c r="S38" s="4">
        <v>0</v>
      </c>
      <c r="T38" s="38"/>
      <c r="U38" s="4">
        <f t="shared" si="11"/>
        <v>432337.5</v>
      </c>
      <c r="V38" s="38"/>
      <c r="W38" s="4">
        <v>0</v>
      </c>
      <c r="X38" s="38"/>
      <c r="Y38" s="4">
        <v>0</v>
      </c>
      <c r="Z38" s="38"/>
      <c r="AA38" s="4">
        <f t="shared" si="7"/>
        <v>432337.5</v>
      </c>
      <c r="AC38" s="6">
        <f t="shared" si="8"/>
        <v>50571</v>
      </c>
      <c r="AD38" s="6"/>
      <c r="AE38" s="35">
        <v>7.4999999999999997E-2</v>
      </c>
      <c r="AF38" s="6"/>
      <c r="AG38" s="4">
        <v>3320000</v>
      </c>
      <c r="AH38" s="38"/>
      <c r="AI38" s="4">
        <f t="shared" si="9"/>
        <v>124500</v>
      </c>
      <c r="AJ38" s="38"/>
      <c r="AK38" s="4">
        <v>0</v>
      </c>
      <c r="AL38" s="38"/>
      <c r="AM38" s="4">
        <v>0</v>
      </c>
      <c r="AN38" s="38"/>
      <c r="AO38" s="4">
        <f t="shared" si="0"/>
        <v>3444500</v>
      </c>
    </row>
    <row r="39" spans="1:41" ht="13.8" x14ac:dyDescent="0.25">
      <c r="A39" s="6">
        <v>50754</v>
      </c>
      <c r="B39" s="6"/>
      <c r="C39" s="6" t="s">
        <v>105</v>
      </c>
      <c r="D39" s="6"/>
      <c r="E39" s="4">
        <f t="shared" si="1"/>
        <v>0</v>
      </c>
      <c r="F39" s="38"/>
      <c r="G39" s="4">
        <f t="shared" si="2"/>
        <v>432337.5</v>
      </c>
      <c r="H39" s="38"/>
      <c r="I39" s="4">
        <f t="shared" si="3"/>
        <v>0</v>
      </c>
      <c r="J39" s="38"/>
      <c r="K39" s="4">
        <f t="shared" si="4"/>
        <v>0</v>
      </c>
      <c r="L39" s="38"/>
      <c r="M39" s="100">
        <f t="shared" si="5"/>
        <v>432337.5</v>
      </c>
      <c r="N39" s="3"/>
      <c r="O39" s="6">
        <f t="shared" si="6"/>
        <v>50754</v>
      </c>
      <c r="P39" s="6"/>
      <c r="Q39" s="35">
        <v>5.2499999999999998E-2</v>
      </c>
      <c r="R39" s="6"/>
      <c r="S39" s="4">
        <v>0</v>
      </c>
      <c r="T39" s="38"/>
      <c r="U39" s="4">
        <f t="shared" si="11"/>
        <v>432337.5</v>
      </c>
      <c r="V39" s="38"/>
      <c r="W39" s="4">
        <v>0</v>
      </c>
      <c r="X39" s="38"/>
      <c r="Y39" s="4">
        <v>0</v>
      </c>
      <c r="Z39" s="38"/>
      <c r="AA39" s="4">
        <f t="shared" si="7"/>
        <v>432337.5</v>
      </c>
      <c r="AC39" s="6">
        <f t="shared" si="8"/>
        <v>50754</v>
      </c>
      <c r="AD39" s="6"/>
      <c r="AE39" s="35">
        <v>7.4999999999999997E-2</v>
      </c>
      <c r="AF39" s="6"/>
      <c r="AG39" s="4">
        <v>0</v>
      </c>
      <c r="AH39" s="38"/>
      <c r="AI39" s="4">
        <f t="shared" si="9"/>
        <v>0</v>
      </c>
      <c r="AJ39" s="38"/>
      <c r="AK39" s="4">
        <v>0</v>
      </c>
      <c r="AL39" s="38"/>
      <c r="AM39" s="4">
        <v>0</v>
      </c>
      <c r="AN39" s="38"/>
      <c r="AO39" s="4">
        <f t="shared" si="0"/>
        <v>0</v>
      </c>
    </row>
    <row r="40" spans="1:41" ht="13.8" x14ac:dyDescent="0.25">
      <c r="A40" s="6">
        <v>50936</v>
      </c>
      <c r="B40" s="6"/>
      <c r="C40" s="6" t="s">
        <v>105</v>
      </c>
      <c r="D40" s="6"/>
      <c r="E40" s="4">
        <f t="shared" si="1"/>
        <v>2185000</v>
      </c>
      <c r="F40" s="38"/>
      <c r="G40" s="4">
        <f t="shared" si="2"/>
        <v>432337.5</v>
      </c>
      <c r="H40" s="38"/>
      <c r="I40" s="4">
        <f t="shared" si="3"/>
        <v>0</v>
      </c>
      <c r="J40" s="38"/>
      <c r="K40" s="4">
        <f t="shared" si="4"/>
        <v>0</v>
      </c>
      <c r="L40" s="38"/>
      <c r="M40" s="100">
        <f t="shared" si="5"/>
        <v>2617337.5</v>
      </c>
      <c r="N40" s="4"/>
      <c r="O40" s="6">
        <f t="shared" si="6"/>
        <v>50936</v>
      </c>
      <c r="P40" s="6"/>
      <c r="Q40" s="35">
        <v>5.2499999999999998E-2</v>
      </c>
      <c r="R40" s="6"/>
      <c r="S40" s="4">
        <v>2185000</v>
      </c>
      <c r="T40" s="38"/>
      <c r="U40" s="4">
        <f t="shared" si="11"/>
        <v>432337.5</v>
      </c>
      <c r="V40" s="38"/>
      <c r="W40" s="4">
        <v>0</v>
      </c>
      <c r="X40" s="38"/>
      <c r="Y40" s="4">
        <v>0</v>
      </c>
      <c r="Z40" s="38"/>
      <c r="AA40" s="4">
        <f t="shared" si="7"/>
        <v>2617337.5</v>
      </c>
      <c r="AC40" s="6">
        <f t="shared" si="8"/>
        <v>50936</v>
      </c>
      <c r="AD40" s="6"/>
      <c r="AE40" s="35">
        <v>7.4999999999999997E-2</v>
      </c>
      <c r="AF40" s="6"/>
      <c r="AG40" s="4">
        <v>0</v>
      </c>
      <c r="AH40" s="38"/>
      <c r="AI40" s="4">
        <f t="shared" ref="AI40:AI53" si="12">AG40*AE40/2+AI41</f>
        <v>0</v>
      </c>
      <c r="AJ40" s="38"/>
      <c r="AK40" s="4">
        <v>0</v>
      </c>
      <c r="AL40" s="38"/>
      <c r="AM40" s="4">
        <v>0</v>
      </c>
      <c r="AN40" s="38"/>
      <c r="AO40" s="4">
        <f t="shared" ref="AO40:AO53" si="13">SUM(AG40:AN40)</f>
        <v>0</v>
      </c>
    </row>
    <row r="41" spans="1:41" ht="13.8" x14ac:dyDescent="0.25">
      <c r="A41" s="6">
        <v>51119</v>
      </c>
      <c r="B41" s="6"/>
      <c r="C41" s="6" t="s">
        <v>105</v>
      </c>
      <c r="D41" s="6"/>
      <c r="E41" s="4">
        <f t="shared" si="1"/>
        <v>0</v>
      </c>
      <c r="F41" s="38"/>
      <c r="G41" s="4">
        <f t="shared" si="2"/>
        <v>374981.25</v>
      </c>
      <c r="H41" s="38"/>
      <c r="I41" s="4">
        <f t="shared" si="3"/>
        <v>0</v>
      </c>
      <c r="J41" s="38"/>
      <c r="K41" s="4">
        <f t="shared" si="4"/>
        <v>0</v>
      </c>
      <c r="L41" s="38"/>
      <c r="M41" s="100">
        <f t="shared" si="5"/>
        <v>374981.25</v>
      </c>
      <c r="N41" s="3"/>
      <c r="O41" s="6">
        <f t="shared" si="6"/>
        <v>51119</v>
      </c>
      <c r="P41" s="6"/>
      <c r="Q41" s="35">
        <v>5.2499999999999998E-2</v>
      </c>
      <c r="R41" s="6"/>
      <c r="S41" s="4">
        <v>0</v>
      </c>
      <c r="T41" s="38"/>
      <c r="U41" s="4">
        <f t="shared" si="11"/>
        <v>374981.25</v>
      </c>
      <c r="V41" s="38"/>
      <c r="W41" s="4">
        <v>0</v>
      </c>
      <c r="X41" s="38"/>
      <c r="Y41" s="4">
        <v>0</v>
      </c>
      <c r="Z41" s="38"/>
      <c r="AA41" s="4">
        <f t="shared" si="7"/>
        <v>374981.25</v>
      </c>
      <c r="AC41" s="6">
        <f t="shared" si="8"/>
        <v>51119</v>
      </c>
      <c r="AD41" s="6"/>
      <c r="AE41" s="35">
        <v>7.4999999999999997E-2</v>
      </c>
      <c r="AF41" s="6"/>
      <c r="AG41" s="4">
        <v>0</v>
      </c>
      <c r="AH41" s="38"/>
      <c r="AI41" s="4">
        <f t="shared" si="12"/>
        <v>0</v>
      </c>
      <c r="AJ41" s="38"/>
      <c r="AK41" s="4">
        <v>0</v>
      </c>
      <c r="AL41" s="38"/>
      <c r="AM41" s="4">
        <v>0</v>
      </c>
      <c r="AN41" s="38"/>
      <c r="AO41" s="4">
        <f t="shared" si="13"/>
        <v>0</v>
      </c>
    </row>
    <row r="42" spans="1:41" ht="13.8" x14ac:dyDescent="0.25">
      <c r="A42" s="6">
        <v>51302</v>
      </c>
      <c r="B42" s="6"/>
      <c r="C42" s="6" t="s">
        <v>105</v>
      </c>
      <c r="D42" s="6"/>
      <c r="E42" s="4">
        <f t="shared" si="1"/>
        <v>2390000</v>
      </c>
      <c r="F42" s="38"/>
      <c r="G42" s="4">
        <f t="shared" si="2"/>
        <v>374981.25</v>
      </c>
      <c r="H42" s="38"/>
      <c r="I42" s="4">
        <f t="shared" si="3"/>
        <v>0</v>
      </c>
      <c r="J42" s="38"/>
      <c r="K42" s="4">
        <f t="shared" si="4"/>
        <v>0</v>
      </c>
      <c r="L42" s="38"/>
      <c r="M42" s="100">
        <f t="shared" si="5"/>
        <v>2764981.25</v>
      </c>
      <c r="N42" s="4"/>
      <c r="O42" s="6">
        <f t="shared" si="6"/>
        <v>51302</v>
      </c>
      <c r="P42" s="6"/>
      <c r="Q42" s="35">
        <v>5.2499999999999998E-2</v>
      </c>
      <c r="R42" s="6"/>
      <c r="S42" s="4">
        <v>2390000</v>
      </c>
      <c r="T42" s="38"/>
      <c r="U42" s="4">
        <f t="shared" si="11"/>
        <v>374981.25</v>
      </c>
      <c r="V42" s="38"/>
      <c r="W42" s="4">
        <v>0</v>
      </c>
      <c r="X42" s="38"/>
      <c r="Y42" s="4">
        <v>0</v>
      </c>
      <c r="Z42" s="38"/>
      <c r="AA42" s="4">
        <f t="shared" si="7"/>
        <v>2764981.25</v>
      </c>
      <c r="AC42" s="6">
        <f t="shared" si="8"/>
        <v>51302</v>
      </c>
      <c r="AD42" s="6"/>
      <c r="AE42" s="35">
        <v>7.4999999999999997E-2</v>
      </c>
      <c r="AF42" s="6"/>
      <c r="AG42" s="4">
        <v>0</v>
      </c>
      <c r="AH42" s="38"/>
      <c r="AI42" s="4">
        <f t="shared" si="12"/>
        <v>0</v>
      </c>
      <c r="AJ42" s="38"/>
      <c r="AK42" s="4">
        <v>0</v>
      </c>
      <c r="AL42" s="38"/>
      <c r="AM42" s="4">
        <v>0</v>
      </c>
      <c r="AN42" s="38"/>
      <c r="AO42" s="4">
        <f t="shared" si="13"/>
        <v>0</v>
      </c>
    </row>
    <row r="43" spans="1:41" ht="13.8" x14ac:dyDescent="0.25">
      <c r="A43" s="6">
        <v>51485</v>
      </c>
      <c r="B43" s="6"/>
      <c r="C43" s="6" t="s">
        <v>105</v>
      </c>
      <c r="D43" s="6"/>
      <c r="E43" s="4">
        <f t="shared" si="1"/>
        <v>0</v>
      </c>
      <c r="F43" s="38"/>
      <c r="G43" s="4">
        <f t="shared" si="2"/>
        <v>312243.75</v>
      </c>
      <c r="H43" s="38"/>
      <c r="I43" s="4">
        <f t="shared" si="3"/>
        <v>0</v>
      </c>
      <c r="J43" s="38"/>
      <c r="K43" s="4">
        <f t="shared" si="4"/>
        <v>0</v>
      </c>
      <c r="L43" s="38"/>
      <c r="M43" s="100">
        <f t="shared" si="5"/>
        <v>312243.75</v>
      </c>
      <c r="N43" s="3"/>
      <c r="O43" s="6">
        <f t="shared" si="6"/>
        <v>51485</v>
      </c>
      <c r="P43" s="6"/>
      <c r="Q43" s="35">
        <v>5.2499999999999998E-2</v>
      </c>
      <c r="R43" s="6"/>
      <c r="S43" s="4">
        <v>0</v>
      </c>
      <c r="T43" s="38"/>
      <c r="U43" s="4">
        <f t="shared" si="11"/>
        <v>312243.75</v>
      </c>
      <c r="V43" s="38"/>
      <c r="W43" s="4">
        <v>0</v>
      </c>
      <c r="X43" s="38"/>
      <c r="Y43" s="4">
        <v>0</v>
      </c>
      <c r="Z43" s="38"/>
      <c r="AA43" s="4">
        <f t="shared" si="7"/>
        <v>312243.75</v>
      </c>
      <c r="AC43" s="6">
        <f t="shared" si="8"/>
        <v>51485</v>
      </c>
      <c r="AD43" s="6"/>
      <c r="AE43" s="35">
        <v>7.4999999999999997E-2</v>
      </c>
      <c r="AF43" s="6"/>
      <c r="AG43" s="4">
        <v>0</v>
      </c>
      <c r="AH43" s="38"/>
      <c r="AI43" s="4">
        <f t="shared" si="12"/>
        <v>0</v>
      </c>
      <c r="AJ43" s="38"/>
      <c r="AK43" s="4">
        <v>0</v>
      </c>
      <c r="AL43" s="38"/>
      <c r="AM43" s="4">
        <v>0</v>
      </c>
      <c r="AN43" s="38"/>
      <c r="AO43" s="4">
        <f t="shared" si="13"/>
        <v>0</v>
      </c>
    </row>
    <row r="44" spans="1:41" ht="13.8" x14ac:dyDescent="0.25">
      <c r="A44" s="6">
        <v>51667</v>
      </c>
      <c r="B44" s="6"/>
      <c r="C44" s="6" t="s">
        <v>105</v>
      </c>
      <c r="D44" s="6"/>
      <c r="E44" s="4">
        <f t="shared" si="1"/>
        <v>2610000</v>
      </c>
      <c r="F44" s="38"/>
      <c r="G44" s="4">
        <f t="shared" si="2"/>
        <v>312243.75</v>
      </c>
      <c r="H44" s="38"/>
      <c r="I44" s="4">
        <f t="shared" si="3"/>
        <v>0</v>
      </c>
      <c r="J44" s="38"/>
      <c r="K44" s="4">
        <f t="shared" si="4"/>
        <v>0</v>
      </c>
      <c r="L44" s="38"/>
      <c r="M44" s="100">
        <f t="shared" si="5"/>
        <v>2922243.75</v>
      </c>
      <c r="N44" s="4"/>
      <c r="O44" s="6">
        <f t="shared" si="6"/>
        <v>51667</v>
      </c>
      <c r="P44" s="6"/>
      <c r="Q44" s="35">
        <v>5.2499999999999998E-2</v>
      </c>
      <c r="R44" s="6"/>
      <c r="S44" s="4">
        <v>2610000</v>
      </c>
      <c r="T44" s="38"/>
      <c r="U44" s="4">
        <f t="shared" si="11"/>
        <v>312243.75</v>
      </c>
      <c r="V44" s="38"/>
      <c r="W44" s="4">
        <v>0</v>
      </c>
      <c r="X44" s="38"/>
      <c r="Y44" s="4">
        <v>0</v>
      </c>
      <c r="Z44" s="38"/>
      <c r="AA44" s="4">
        <f t="shared" si="7"/>
        <v>2922243.75</v>
      </c>
      <c r="AC44" s="6">
        <f t="shared" si="8"/>
        <v>51667</v>
      </c>
      <c r="AD44" s="6"/>
      <c r="AE44" s="35">
        <v>7.4999999999999997E-2</v>
      </c>
      <c r="AF44" s="6"/>
      <c r="AG44" s="4">
        <v>0</v>
      </c>
      <c r="AH44" s="38"/>
      <c r="AI44" s="4">
        <f t="shared" si="12"/>
        <v>0</v>
      </c>
      <c r="AJ44" s="38"/>
      <c r="AK44" s="4">
        <v>0</v>
      </c>
      <c r="AL44" s="38"/>
      <c r="AM44" s="4">
        <v>0</v>
      </c>
      <c r="AN44" s="38"/>
      <c r="AO44" s="4">
        <f t="shared" si="13"/>
        <v>0</v>
      </c>
    </row>
    <row r="45" spans="1:41" ht="13.8" x14ac:dyDescent="0.25">
      <c r="A45" s="6">
        <v>51850</v>
      </c>
      <c r="B45" s="6"/>
      <c r="C45" s="6" t="s">
        <v>105</v>
      </c>
      <c r="D45" s="6"/>
      <c r="E45" s="4">
        <f t="shared" si="1"/>
        <v>0</v>
      </c>
      <c r="F45" s="38"/>
      <c r="G45" s="4">
        <f t="shared" si="2"/>
        <v>243731.25</v>
      </c>
      <c r="H45" s="38"/>
      <c r="I45" s="4">
        <f t="shared" si="3"/>
        <v>0</v>
      </c>
      <c r="J45" s="38"/>
      <c r="K45" s="4">
        <f t="shared" si="4"/>
        <v>0</v>
      </c>
      <c r="L45" s="38"/>
      <c r="M45" s="100">
        <f t="shared" si="5"/>
        <v>243731.25</v>
      </c>
      <c r="N45" s="3"/>
      <c r="O45" s="6">
        <f t="shared" si="6"/>
        <v>51850</v>
      </c>
      <c r="P45" s="6"/>
      <c r="Q45" s="35">
        <v>5.2499999999999998E-2</v>
      </c>
      <c r="R45" s="6"/>
      <c r="S45" s="4">
        <v>0</v>
      </c>
      <c r="T45" s="38"/>
      <c r="U45" s="4">
        <f t="shared" si="11"/>
        <v>243731.25</v>
      </c>
      <c r="V45" s="38"/>
      <c r="W45" s="4">
        <v>0</v>
      </c>
      <c r="X45" s="38"/>
      <c r="Y45" s="4">
        <v>0</v>
      </c>
      <c r="Z45" s="38"/>
      <c r="AA45" s="4">
        <f t="shared" si="7"/>
        <v>243731.25</v>
      </c>
      <c r="AC45" s="6">
        <f t="shared" si="8"/>
        <v>51850</v>
      </c>
      <c r="AD45" s="6"/>
      <c r="AE45" s="35">
        <v>7.4999999999999997E-2</v>
      </c>
      <c r="AF45" s="6"/>
      <c r="AG45" s="4">
        <v>0</v>
      </c>
      <c r="AH45" s="38"/>
      <c r="AI45" s="4">
        <f t="shared" si="12"/>
        <v>0</v>
      </c>
      <c r="AJ45" s="38"/>
      <c r="AK45" s="4">
        <v>0</v>
      </c>
      <c r="AL45" s="38"/>
      <c r="AM45" s="4">
        <v>0</v>
      </c>
      <c r="AN45" s="38"/>
      <c r="AO45" s="4">
        <f t="shared" si="13"/>
        <v>0</v>
      </c>
    </row>
    <row r="46" spans="1:41" ht="13.8" x14ac:dyDescent="0.25">
      <c r="A46" s="6">
        <v>52032</v>
      </c>
      <c r="B46" s="6"/>
      <c r="C46" s="6" t="s">
        <v>105</v>
      </c>
      <c r="D46" s="6"/>
      <c r="E46" s="4">
        <f t="shared" si="1"/>
        <v>2845000</v>
      </c>
      <c r="F46" s="38"/>
      <c r="G46" s="4">
        <f t="shared" si="2"/>
        <v>243731.25</v>
      </c>
      <c r="H46" s="38"/>
      <c r="I46" s="4">
        <f t="shared" si="3"/>
        <v>0</v>
      </c>
      <c r="J46" s="38"/>
      <c r="K46" s="4">
        <f t="shared" si="4"/>
        <v>0</v>
      </c>
      <c r="L46" s="38"/>
      <c r="M46" s="100">
        <f t="shared" si="5"/>
        <v>3088731.25</v>
      </c>
      <c r="N46" s="3"/>
      <c r="O46" s="6">
        <f t="shared" si="6"/>
        <v>52032</v>
      </c>
      <c r="P46" s="6"/>
      <c r="Q46" s="35">
        <v>5.2499999999999998E-2</v>
      </c>
      <c r="R46" s="6"/>
      <c r="S46" s="4">
        <v>2845000</v>
      </c>
      <c r="T46" s="38"/>
      <c r="U46" s="4">
        <f t="shared" si="11"/>
        <v>243731.25</v>
      </c>
      <c r="V46" s="38"/>
      <c r="W46" s="4">
        <v>0</v>
      </c>
      <c r="X46" s="38"/>
      <c r="Y46" s="4">
        <v>0</v>
      </c>
      <c r="Z46" s="38"/>
      <c r="AA46" s="4">
        <f t="shared" ref="AA46:AA52" si="14">SUM(S46:Z46)</f>
        <v>3088731.25</v>
      </c>
      <c r="AC46" s="6">
        <f t="shared" si="8"/>
        <v>52032</v>
      </c>
      <c r="AD46" s="6"/>
      <c r="AE46" s="35">
        <v>7.4999999999999997E-2</v>
      </c>
      <c r="AF46" s="6"/>
      <c r="AG46" s="4">
        <v>0</v>
      </c>
      <c r="AH46" s="38"/>
      <c r="AI46" s="4">
        <f t="shared" si="12"/>
        <v>0</v>
      </c>
      <c r="AJ46" s="38"/>
      <c r="AK46" s="4">
        <v>0</v>
      </c>
      <c r="AL46" s="38"/>
      <c r="AM46" s="4">
        <v>0</v>
      </c>
      <c r="AN46" s="38"/>
      <c r="AO46" s="4">
        <f t="shared" si="13"/>
        <v>0</v>
      </c>
    </row>
    <row r="47" spans="1:41" ht="13.8" x14ac:dyDescent="0.25">
      <c r="A47" s="6">
        <v>52215</v>
      </c>
      <c r="B47" s="6"/>
      <c r="C47" s="6" t="s">
        <v>105</v>
      </c>
      <c r="D47" s="6"/>
      <c r="E47" s="4">
        <f t="shared" si="1"/>
        <v>0</v>
      </c>
      <c r="F47" s="38"/>
      <c r="G47" s="4">
        <f t="shared" si="2"/>
        <v>169050</v>
      </c>
      <c r="H47" s="38"/>
      <c r="I47" s="4">
        <f t="shared" si="3"/>
        <v>0</v>
      </c>
      <c r="J47" s="38"/>
      <c r="K47" s="4">
        <f t="shared" si="4"/>
        <v>0</v>
      </c>
      <c r="L47" s="38"/>
      <c r="M47" s="100">
        <f t="shared" si="5"/>
        <v>169050</v>
      </c>
      <c r="N47" s="3"/>
      <c r="O47" s="6">
        <f t="shared" si="6"/>
        <v>52215</v>
      </c>
      <c r="P47" s="6"/>
      <c r="Q47" s="35">
        <v>5.2499999999999998E-2</v>
      </c>
      <c r="R47" s="6"/>
      <c r="S47" s="4">
        <v>0</v>
      </c>
      <c r="T47" s="38"/>
      <c r="U47" s="4">
        <f t="shared" si="11"/>
        <v>169050</v>
      </c>
      <c r="V47" s="38"/>
      <c r="W47" s="4">
        <v>0</v>
      </c>
      <c r="X47" s="38"/>
      <c r="Y47" s="4">
        <v>0</v>
      </c>
      <c r="Z47" s="38"/>
      <c r="AA47" s="4">
        <f t="shared" si="14"/>
        <v>169050</v>
      </c>
      <c r="AC47" s="6">
        <f t="shared" si="8"/>
        <v>52215</v>
      </c>
      <c r="AD47" s="6"/>
      <c r="AE47" s="35">
        <v>7.4999999999999997E-2</v>
      </c>
      <c r="AF47" s="6"/>
      <c r="AG47" s="4">
        <v>0</v>
      </c>
      <c r="AH47" s="38"/>
      <c r="AI47" s="4">
        <f t="shared" si="12"/>
        <v>0</v>
      </c>
      <c r="AJ47" s="38"/>
      <c r="AK47" s="4">
        <v>0</v>
      </c>
      <c r="AL47" s="38"/>
      <c r="AM47" s="4">
        <v>0</v>
      </c>
      <c r="AN47" s="38"/>
      <c r="AO47" s="4">
        <f t="shared" si="13"/>
        <v>0</v>
      </c>
    </row>
    <row r="48" spans="1:41" ht="13.8" x14ac:dyDescent="0.25">
      <c r="A48" s="6">
        <v>52397</v>
      </c>
      <c r="B48" s="6"/>
      <c r="C48" s="6" t="s">
        <v>105</v>
      </c>
      <c r="D48" s="6"/>
      <c r="E48" s="4">
        <f t="shared" si="1"/>
        <v>3095000</v>
      </c>
      <c r="F48" s="38"/>
      <c r="G48" s="4">
        <f t="shared" si="2"/>
        <v>169050</v>
      </c>
      <c r="H48" s="38"/>
      <c r="I48" s="4">
        <f t="shared" si="3"/>
        <v>0</v>
      </c>
      <c r="J48" s="38"/>
      <c r="K48" s="4">
        <f t="shared" si="4"/>
        <v>0</v>
      </c>
      <c r="L48" s="38"/>
      <c r="M48" s="100">
        <f t="shared" si="5"/>
        <v>3264050</v>
      </c>
      <c r="N48" s="3"/>
      <c r="O48" s="6">
        <f t="shared" si="6"/>
        <v>52397</v>
      </c>
      <c r="P48" s="6"/>
      <c r="Q48" s="35">
        <v>5.2499999999999998E-2</v>
      </c>
      <c r="R48" s="6"/>
      <c r="S48" s="4">
        <v>3095000</v>
      </c>
      <c r="T48" s="38"/>
      <c r="U48" s="4">
        <f t="shared" si="11"/>
        <v>169050</v>
      </c>
      <c r="V48" s="38"/>
      <c r="W48" s="4">
        <v>0</v>
      </c>
      <c r="X48" s="38"/>
      <c r="Y48" s="4">
        <v>0</v>
      </c>
      <c r="Z48" s="38"/>
      <c r="AA48" s="4">
        <f t="shared" si="14"/>
        <v>3264050</v>
      </c>
      <c r="AC48" s="6">
        <f t="shared" si="8"/>
        <v>52397</v>
      </c>
      <c r="AD48" s="6"/>
      <c r="AE48" s="35">
        <v>7.4999999999999997E-2</v>
      </c>
      <c r="AF48" s="6"/>
      <c r="AG48" s="4">
        <v>0</v>
      </c>
      <c r="AH48" s="38"/>
      <c r="AI48" s="4">
        <f t="shared" si="12"/>
        <v>0</v>
      </c>
      <c r="AJ48" s="38"/>
      <c r="AK48" s="4">
        <v>0</v>
      </c>
      <c r="AL48" s="38"/>
      <c r="AM48" s="4">
        <v>0</v>
      </c>
      <c r="AN48" s="38"/>
      <c r="AO48" s="4">
        <f t="shared" si="13"/>
        <v>0</v>
      </c>
    </row>
    <row r="49" spans="1:41" ht="13.8" x14ac:dyDescent="0.25">
      <c r="A49" s="6">
        <v>52580</v>
      </c>
      <c r="B49" s="6"/>
      <c r="C49" s="6" t="s">
        <v>105</v>
      </c>
      <c r="D49" s="6"/>
      <c r="E49" s="4">
        <f t="shared" si="1"/>
        <v>0</v>
      </c>
      <c r="F49" s="38"/>
      <c r="G49" s="4">
        <f t="shared" si="2"/>
        <v>87806.25</v>
      </c>
      <c r="H49" s="38"/>
      <c r="I49" s="4">
        <f t="shared" si="3"/>
        <v>0</v>
      </c>
      <c r="J49" s="38"/>
      <c r="K49" s="4">
        <f t="shared" si="4"/>
        <v>0</v>
      </c>
      <c r="L49" s="38"/>
      <c r="M49" s="100">
        <f t="shared" si="5"/>
        <v>87806.25</v>
      </c>
      <c r="N49" s="4"/>
      <c r="O49" s="6">
        <f t="shared" si="6"/>
        <v>52580</v>
      </c>
      <c r="P49" s="6"/>
      <c r="Q49" s="35">
        <v>5.2499999999999998E-2</v>
      </c>
      <c r="R49" s="6"/>
      <c r="S49" s="4">
        <v>0</v>
      </c>
      <c r="T49" s="38"/>
      <c r="U49" s="4">
        <f t="shared" si="11"/>
        <v>87806.25</v>
      </c>
      <c r="V49" s="38"/>
      <c r="W49" s="4">
        <v>0</v>
      </c>
      <c r="X49" s="38"/>
      <c r="Y49" s="4">
        <v>0</v>
      </c>
      <c r="Z49" s="38"/>
      <c r="AA49" s="4">
        <f t="shared" si="14"/>
        <v>87806.25</v>
      </c>
      <c r="AC49" s="6">
        <f t="shared" si="8"/>
        <v>52580</v>
      </c>
      <c r="AD49" s="6"/>
      <c r="AE49" s="35">
        <v>7.4999999999999997E-2</v>
      </c>
      <c r="AF49" s="6"/>
      <c r="AG49" s="4">
        <v>0</v>
      </c>
      <c r="AH49" s="38"/>
      <c r="AI49" s="4">
        <f t="shared" si="12"/>
        <v>0</v>
      </c>
      <c r="AJ49" s="38"/>
      <c r="AK49" s="4">
        <v>0</v>
      </c>
      <c r="AL49" s="38"/>
      <c r="AM49" s="4">
        <v>0</v>
      </c>
      <c r="AN49" s="38"/>
      <c r="AO49" s="4">
        <f t="shared" si="13"/>
        <v>0</v>
      </c>
    </row>
    <row r="50" spans="1:41" ht="13.8" x14ac:dyDescent="0.25">
      <c r="A50" s="6">
        <v>52763</v>
      </c>
      <c r="B50" s="6"/>
      <c r="C50" s="6" t="s">
        <v>105</v>
      </c>
      <c r="D50" s="6"/>
      <c r="E50" s="4">
        <f t="shared" si="1"/>
        <v>3345000</v>
      </c>
      <c r="F50" s="38"/>
      <c r="G50" s="4">
        <f t="shared" si="2"/>
        <v>87806.25</v>
      </c>
      <c r="H50" s="38"/>
      <c r="I50" s="4">
        <f t="shared" si="3"/>
        <v>0</v>
      </c>
      <c r="J50" s="38"/>
      <c r="K50" s="4">
        <f t="shared" si="4"/>
        <v>0</v>
      </c>
      <c r="L50" s="38"/>
      <c r="M50" s="100">
        <f t="shared" si="5"/>
        <v>3432806.25</v>
      </c>
      <c r="N50" s="4"/>
      <c r="O50" s="6">
        <f t="shared" si="6"/>
        <v>52763</v>
      </c>
      <c r="P50" s="6"/>
      <c r="Q50" s="35">
        <v>5.2499999999999998E-2</v>
      </c>
      <c r="R50" s="6"/>
      <c r="S50" s="4">
        <v>3345000</v>
      </c>
      <c r="T50" s="38"/>
      <c r="U50" s="4">
        <f t="shared" si="11"/>
        <v>87806.25</v>
      </c>
      <c r="V50" s="38"/>
      <c r="W50" s="4">
        <v>0</v>
      </c>
      <c r="X50" s="38"/>
      <c r="Y50" s="4">
        <v>0</v>
      </c>
      <c r="Z50" s="38"/>
      <c r="AA50" s="4">
        <f t="shared" si="14"/>
        <v>3432806.25</v>
      </c>
      <c r="AC50" s="6">
        <f t="shared" si="8"/>
        <v>52763</v>
      </c>
      <c r="AD50" s="6"/>
      <c r="AE50" s="35">
        <v>7.4999999999999997E-2</v>
      </c>
      <c r="AF50" s="6"/>
      <c r="AG50" s="4">
        <v>0</v>
      </c>
      <c r="AH50" s="38"/>
      <c r="AI50" s="4">
        <f t="shared" si="12"/>
        <v>0</v>
      </c>
      <c r="AJ50" s="38"/>
      <c r="AK50" s="4">
        <v>0</v>
      </c>
      <c r="AL50" s="38"/>
      <c r="AM50" s="4">
        <v>0</v>
      </c>
      <c r="AN50" s="38"/>
      <c r="AO50" s="4">
        <f t="shared" si="13"/>
        <v>0</v>
      </c>
    </row>
    <row r="51" spans="1:41" ht="6" customHeight="1" x14ac:dyDescent="0.25">
      <c r="A51" s="6"/>
      <c r="B51" s="6"/>
      <c r="C51" s="6"/>
      <c r="D51" s="6"/>
      <c r="E51" s="4"/>
      <c r="F51" s="38"/>
      <c r="G51" s="4"/>
      <c r="H51" s="38"/>
      <c r="I51" s="4"/>
      <c r="J51" s="38"/>
      <c r="K51" s="4"/>
      <c r="L51" s="38"/>
      <c r="M51" s="100"/>
      <c r="N51" s="4"/>
      <c r="O51" s="6"/>
      <c r="P51" s="6"/>
      <c r="Q51" s="35"/>
      <c r="R51" s="6"/>
      <c r="S51" s="4"/>
      <c r="T51" s="38"/>
      <c r="U51" s="4"/>
      <c r="V51" s="38"/>
      <c r="W51" s="4"/>
      <c r="X51" s="38"/>
      <c r="Y51" s="4"/>
      <c r="Z51" s="38"/>
      <c r="AA51" s="4"/>
      <c r="AC51" s="6"/>
      <c r="AD51" s="6"/>
      <c r="AE51" s="35"/>
      <c r="AF51" s="6"/>
      <c r="AG51" s="4"/>
      <c r="AH51" s="38"/>
      <c r="AI51" s="4"/>
      <c r="AJ51" s="38"/>
      <c r="AK51" s="4"/>
      <c r="AL51" s="38"/>
      <c r="AM51" s="4"/>
      <c r="AN51" s="38"/>
      <c r="AO51" s="4"/>
    </row>
    <row r="52" spans="1:41" ht="6" customHeight="1" x14ac:dyDescent="0.25">
      <c r="A52" s="6"/>
      <c r="B52" s="6"/>
      <c r="C52" s="6"/>
      <c r="D52" s="6"/>
      <c r="E52" s="4"/>
      <c r="F52" s="38"/>
      <c r="G52" s="4"/>
      <c r="H52" s="38"/>
      <c r="I52" s="4"/>
      <c r="J52" s="38"/>
      <c r="K52" s="4"/>
      <c r="L52" s="38"/>
      <c r="M52" s="100"/>
      <c r="N52" s="4"/>
      <c r="O52" s="6"/>
      <c r="P52" s="6"/>
      <c r="Q52" s="35"/>
      <c r="R52" s="6"/>
      <c r="S52" s="4"/>
      <c r="T52" s="38"/>
      <c r="U52" s="4"/>
      <c r="V52" s="38"/>
      <c r="W52" s="4"/>
      <c r="X52" s="38"/>
      <c r="Y52" s="4"/>
      <c r="Z52" s="38"/>
      <c r="AA52" s="4"/>
      <c r="AC52" s="6"/>
      <c r="AD52" s="6"/>
      <c r="AE52" s="35"/>
      <c r="AF52" s="6"/>
      <c r="AG52" s="4"/>
      <c r="AH52" s="38"/>
      <c r="AI52" s="4"/>
      <c r="AJ52" s="38"/>
      <c r="AK52" s="4"/>
      <c r="AL52" s="38"/>
      <c r="AM52" s="4"/>
      <c r="AN52" s="38"/>
      <c r="AO52" s="4"/>
    </row>
    <row r="53" spans="1:41" ht="6" customHeight="1" x14ac:dyDescent="0.25">
      <c r="A53" s="6"/>
      <c r="B53" s="6"/>
      <c r="C53" s="6"/>
      <c r="D53" s="6"/>
      <c r="E53" s="4"/>
      <c r="F53" s="38"/>
      <c r="G53" s="4"/>
      <c r="H53" s="38"/>
      <c r="I53" s="4"/>
      <c r="J53" s="38"/>
      <c r="K53" s="4"/>
      <c r="L53" s="38"/>
      <c r="M53" s="100"/>
      <c r="N53" s="4"/>
      <c r="O53" s="6"/>
      <c r="P53" s="6"/>
      <c r="Q53" s="35"/>
      <c r="R53" s="6"/>
      <c r="S53" s="4"/>
      <c r="T53" s="38"/>
      <c r="U53" s="4"/>
      <c r="V53" s="38"/>
      <c r="W53" s="4"/>
      <c r="X53" s="38"/>
      <c r="Y53" s="4"/>
      <c r="Z53" s="38"/>
      <c r="AA53" s="4"/>
      <c r="AC53" s="6"/>
      <c r="AD53" s="6"/>
      <c r="AE53" s="35"/>
      <c r="AF53" s="6"/>
      <c r="AG53" s="4"/>
      <c r="AH53" s="38"/>
      <c r="AI53" s="4"/>
      <c r="AJ53" s="38"/>
      <c r="AK53" s="4"/>
      <c r="AL53" s="38"/>
      <c r="AM53" s="4"/>
      <c r="AN53" s="38"/>
      <c r="AO53" s="4"/>
    </row>
    <row r="54" spans="1:41" ht="13.8" x14ac:dyDescent="0.25">
      <c r="A54" s="6"/>
      <c r="B54" s="6"/>
      <c r="C54" s="6"/>
      <c r="D54" s="6"/>
      <c r="E54" s="37"/>
      <c r="F54" s="36"/>
      <c r="G54" s="37"/>
      <c r="H54" s="36"/>
      <c r="I54" s="37"/>
      <c r="J54" s="36"/>
      <c r="K54" s="37"/>
      <c r="L54" s="36"/>
      <c r="M54" s="37"/>
      <c r="N54" s="3"/>
      <c r="O54" s="6"/>
      <c r="P54" s="6"/>
      <c r="Q54" s="6"/>
      <c r="R54" s="6"/>
      <c r="S54" s="37"/>
      <c r="T54" s="36"/>
      <c r="U54" s="37"/>
      <c r="V54" s="36"/>
      <c r="W54" s="37"/>
      <c r="X54" s="36"/>
      <c r="Y54" s="37"/>
      <c r="Z54" s="36"/>
      <c r="AA54" s="37"/>
      <c r="AC54" s="6"/>
      <c r="AD54" s="6"/>
      <c r="AE54" s="6"/>
      <c r="AF54" s="6"/>
      <c r="AG54" s="37"/>
      <c r="AH54" s="36"/>
      <c r="AI54" s="37"/>
      <c r="AJ54" s="36"/>
      <c r="AK54" s="37"/>
      <c r="AL54" s="36"/>
      <c r="AM54" s="37"/>
      <c r="AN54" s="36"/>
      <c r="AO54" s="37"/>
    </row>
    <row r="55" spans="1:41" ht="14.4" thickBot="1" x14ac:dyDescent="0.3">
      <c r="A55" s="6"/>
      <c r="B55" s="6"/>
      <c r="C55" s="6" t="s">
        <v>55</v>
      </c>
      <c r="D55" s="6"/>
      <c r="E55" s="42">
        <f>SUM(E10:E54)</f>
        <v>42830000</v>
      </c>
      <c r="F55" s="36"/>
      <c r="G55" s="42">
        <f>SUM(G10:G54)</f>
        <v>34671713.125</v>
      </c>
      <c r="H55" s="36"/>
      <c r="I55" s="42">
        <f>SUM(I10:I54)</f>
        <v>0</v>
      </c>
      <c r="J55" s="36"/>
      <c r="K55" s="101">
        <f>SUM(K10:K54)</f>
        <v>-3178473.0049999999</v>
      </c>
      <c r="L55" s="36"/>
      <c r="M55" s="42">
        <f>SUM(M10:M54)</f>
        <v>74323240.120000005</v>
      </c>
      <c r="N55" s="3"/>
      <c r="O55" s="6"/>
      <c r="P55" s="6"/>
      <c r="Q55" s="6" t="s">
        <v>55</v>
      </c>
      <c r="R55" s="6"/>
      <c r="S55" s="42">
        <f>SUM(S10:S53)</f>
        <v>16470000</v>
      </c>
      <c r="T55" s="42"/>
      <c r="U55" s="42">
        <f t="shared" ref="U55" si="15">SUM(U10:U53)</f>
        <v>15718040.625</v>
      </c>
      <c r="V55" s="36"/>
      <c r="W55" s="42">
        <f>SUM(W10:W54)</f>
        <v>0</v>
      </c>
      <c r="X55" s="36"/>
      <c r="Y55" s="101">
        <f>SUM(Y10:Y54)</f>
        <v>-979965.005</v>
      </c>
      <c r="Z55" s="36"/>
      <c r="AA55" s="42">
        <f>SUM(AA10:AA54)</f>
        <v>31208075.620000001</v>
      </c>
      <c r="AC55" s="6"/>
      <c r="AD55" s="6"/>
      <c r="AE55" s="6" t="s">
        <v>55</v>
      </c>
      <c r="AF55" s="6"/>
      <c r="AG55" s="42">
        <f>SUM(AG10:AG54)</f>
        <v>26360000</v>
      </c>
      <c r="AH55" s="36"/>
      <c r="AI55" s="42">
        <f>SUM(AI10:AI54)</f>
        <v>18953672.5</v>
      </c>
      <c r="AJ55" s="36"/>
      <c r="AK55" s="42">
        <f>SUM(AK10:AK54)</f>
        <v>0</v>
      </c>
      <c r="AL55" s="36"/>
      <c r="AM55" s="101">
        <f>SUM(AM10:AM54)</f>
        <v>-2198508</v>
      </c>
      <c r="AN55" s="36"/>
      <c r="AO55" s="42">
        <f>SUM(AO10:AO54)</f>
        <v>43115164.5</v>
      </c>
    </row>
    <row r="56" spans="1:41" ht="14.4" thickTop="1" x14ac:dyDescent="0.25">
      <c r="A56" s="6"/>
      <c r="B56" s="6"/>
      <c r="C56" s="6"/>
      <c r="D56" s="6"/>
      <c r="E56" s="36"/>
      <c r="F56" s="36"/>
      <c r="G56" s="36"/>
      <c r="H56" s="36"/>
      <c r="I56" s="36"/>
      <c r="J56" s="36"/>
      <c r="K56" s="36"/>
      <c r="L56" s="36"/>
      <c r="M56" s="36"/>
      <c r="N56" s="3"/>
      <c r="O56" s="6"/>
      <c r="P56" s="6"/>
      <c r="Q56" s="6"/>
      <c r="R56" s="6"/>
      <c r="S56" s="36"/>
      <c r="T56" s="36"/>
      <c r="U56" s="36"/>
      <c r="V56" s="36"/>
      <c r="W56" s="36"/>
      <c r="X56" s="36"/>
      <c r="Y56" s="36"/>
      <c r="Z56" s="36"/>
      <c r="AA56" s="36"/>
    </row>
    <row r="57" spans="1:41" ht="13.8" x14ac:dyDescent="0.25">
      <c r="A57" s="6"/>
      <c r="B57" s="6"/>
      <c r="C57" s="6"/>
      <c r="D57" s="6"/>
      <c r="E57" s="36"/>
      <c r="F57" s="36"/>
      <c r="G57" s="36"/>
      <c r="H57" s="36"/>
      <c r="I57" s="36"/>
      <c r="J57" s="36"/>
      <c r="K57" s="36"/>
      <c r="L57" s="36"/>
      <c r="M57" s="36"/>
      <c r="N57" s="3"/>
    </row>
    <row r="58" spans="1:41" ht="13.8" x14ac:dyDescent="0.25">
      <c r="A58" s="12"/>
      <c r="B58" s="6"/>
      <c r="C58" s="31"/>
      <c r="D58" s="6"/>
      <c r="J58" s="36"/>
      <c r="K58" s="36"/>
      <c r="L58" s="36"/>
      <c r="M58" s="4"/>
      <c r="N58" s="4"/>
    </row>
    <row r="60" spans="1:41" ht="13.8" x14ac:dyDescent="0.25">
      <c r="E60" s="38"/>
      <c r="N60" s="32"/>
    </row>
    <row r="61" spans="1:41" ht="13.8" x14ac:dyDescent="0.25">
      <c r="E61" s="38"/>
    </row>
    <row r="62" spans="1:41" ht="13.8" x14ac:dyDescent="0.25">
      <c r="E62" s="38"/>
    </row>
    <row r="63" spans="1:41" ht="13.8" x14ac:dyDescent="0.25">
      <c r="E63" s="38"/>
    </row>
  </sheetData>
  <printOptions horizontalCentered="1"/>
  <pageMargins left="0.5" right="0.5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zoomScaleNormal="100" zoomScaleSheetLayoutView="100" workbookViewId="0">
      <pane xSplit="1" ySplit="9" topLeftCell="B10" activePane="bottomRight" state="frozen"/>
      <selection activeCell="K44" sqref="K44"/>
      <selection pane="topRight" activeCell="K44" sqref="K44"/>
      <selection pane="bottomLeft" activeCell="K44" sqref="K44"/>
      <selection pane="bottomRight" activeCell="K44" sqref="K44"/>
    </sheetView>
  </sheetViews>
  <sheetFormatPr defaultColWidth="10.7109375" defaultRowHeight="13.2" x14ac:dyDescent="0.25"/>
  <cols>
    <col min="1" max="1" width="20.28515625" style="30" bestFit="1" customWidth="1"/>
    <col min="2" max="2" width="2.85546875" style="30" customWidth="1"/>
    <col min="3" max="3" width="13.85546875" style="30" customWidth="1"/>
    <col min="4" max="4" width="2.85546875" style="30" customWidth="1"/>
    <col min="5" max="5" width="19.5703125" style="31" bestFit="1" customWidth="1"/>
    <col min="6" max="6" width="2.85546875" style="31" customWidth="1"/>
    <col min="7" max="7" width="19.5703125" style="31" bestFit="1" customWidth="1"/>
    <col min="8" max="8" width="2.85546875" style="31" customWidth="1"/>
    <col min="9" max="9" width="16.42578125" style="31" customWidth="1"/>
    <col min="10" max="10" width="2.85546875" style="31" customWidth="1"/>
    <col min="11" max="11" width="16.42578125" style="31" customWidth="1"/>
    <col min="12" max="12" width="2.85546875" style="31" customWidth="1"/>
    <col min="13" max="13" width="19.5703125" style="31" bestFit="1" customWidth="1"/>
    <col min="14" max="14" width="19.85546875" style="31" customWidth="1"/>
    <col min="15" max="15" width="18.5703125" style="31" customWidth="1"/>
    <col min="16" max="16384" width="10.7109375" style="31"/>
  </cols>
  <sheetData>
    <row r="1" spans="1:15" ht="17.399999999999999" x14ac:dyDescent="0.3">
      <c r="A1" s="43" t="s">
        <v>92</v>
      </c>
      <c r="B1" s="43"/>
      <c r="C1" s="44"/>
      <c r="D1" s="44"/>
      <c r="E1" s="44"/>
      <c r="F1" s="44"/>
      <c r="G1" s="44"/>
      <c r="H1" s="44"/>
      <c r="I1" s="44"/>
      <c r="J1" s="44"/>
      <c r="K1" s="45"/>
      <c r="L1" s="44"/>
      <c r="M1" s="45"/>
    </row>
    <row r="2" spans="1:15" s="28" customFormat="1" ht="18" x14ac:dyDescent="0.35">
      <c r="A2" s="43" t="s">
        <v>53</v>
      </c>
      <c r="B2" s="43"/>
      <c r="C2" s="44"/>
      <c r="D2" s="44"/>
      <c r="E2" s="44"/>
      <c r="F2" s="44"/>
      <c r="G2" s="44"/>
      <c r="H2" s="44"/>
      <c r="I2" s="44"/>
      <c r="J2" s="44"/>
      <c r="K2" s="45"/>
      <c r="L2" s="44"/>
      <c r="M2" s="45"/>
    </row>
    <row r="3" spans="1:15" s="27" customFormat="1" ht="15.6" x14ac:dyDescent="0.3">
      <c r="A3" s="46" t="s">
        <v>67</v>
      </c>
      <c r="B3" s="46"/>
      <c r="C3" s="47"/>
      <c r="D3" s="47"/>
      <c r="E3" s="47"/>
      <c r="F3" s="47"/>
      <c r="G3" s="47"/>
      <c r="H3" s="47"/>
      <c r="I3" s="47"/>
      <c r="J3" s="47"/>
      <c r="K3" s="48"/>
      <c r="L3" s="47"/>
      <c r="M3" s="48"/>
    </row>
    <row r="4" spans="1:15" s="3" customFormat="1" ht="13.8" x14ac:dyDescent="0.25">
      <c r="A4" s="10" t="s">
        <v>100</v>
      </c>
      <c r="B4" s="6"/>
      <c r="C4" s="6"/>
      <c r="D4" s="6"/>
      <c r="E4" s="9"/>
      <c r="F4" s="9"/>
      <c r="G4" s="9"/>
      <c r="H4" s="9"/>
      <c r="I4" s="9"/>
      <c r="J4" s="9"/>
      <c r="K4" s="9"/>
      <c r="L4" s="9"/>
      <c r="M4" s="9"/>
    </row>
    <row r="5" spans="1:15" s="3" customFormat="1" ht="13.8" x14ac:dyDescent="0.25">
      <c r="A5" s="6"/>
      <c r="C5" s="6"/>
      <c r="D5" s="114" t="s">
        <v>54</v>
      </c>
      <c r="E5" s="34">
        <f>+'2023AB'!E5</f>
        <v>45301</v>
      </c>
      <c r="F5" s="9"/>
      <c r="G5" s="9"/>
      <c r="H5" s="9"/>
      <c r="I5" s="9"/>
      <c r="J5" s="9"/>
      <c r="K5" s="9"/>
      <c r="L5" s="9"/>
      <c r="M5" s="9"/>
    </row>
    <row r="6" spans="1:15" s="3" customFormat="1" ht="13.8" x14ac:dyDescent="0.25">
      <c r="A6" s="6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</row>
    <row r="7" spans="1:15" s="29" customFormat="1" ht="13.8" x14ac:dyDescent="0.25">
      <c r="A7" s="26" t="s">
        <v>1</v>
      </c>
      <c r="B7" s="26"/>
      <c r="C7" s="26" t="s">
        <v>2</v>
      </c>
      <c r="D7" s="26"/>
      <c r="E7" s="9"/>
      <c r="F7" s="9"/>
      <c r="G7" s="9"/>
      <c r="H7" s="9"/>
      <c r="I7" s="9"/>
      <c r="J7" s="9"/>
      <c r="K7" s="9"/>
      <c r="L7" s="9"/>
      <c r="M7" s="9"/>
    </row>
    <row r="8" spans="1:15" s="3" customFormat="1" ht="13.8" x14ac:dyDescent="0.25">
      <c r="A8" s="7" t="s">
        <v>46</v>
      </c>
      <c r="B8" s="7"/>
      <c r="C8" s="7" t="s">
        <v>48</v>
      </c>
      <c r="D8" s="7"/>
      <c r="E8" s="9" t="s">
        <v>50</v>
      </c>
      <c r="F8" s="9"/>
      <c r="G8" s="8"/>
      <c r="H8" s="9"/>
      <c r="I8" s="9" t="s">
        <v>5</v>
      </c>
      <c r="J8" s="9"/>
      <c r="K8" s="9" t="s">
        <v>9</v>
      </c>
      <c r="L8" s="9"/>
      <c r="M8" s="9"/>
      <c r="N8" s="9"/>
    </row>
    <row r="9" spans="1:15" s="3" customFormat="1" ht="13.8" x14ac:dyDescent="0.25">
      <c r="A9" s="10" t="s">
        <v>47</v>
      </c>
      <c r="B9" s="10"/>
      <c r="C9" s="10" t="s">
        <v>49</v>
      </c>
      <c r="D9" s="10"/>
      <c r="E9" s="8" t="s">
        <v>51</v>
      </c>
      <c r="F9" s="8"/>
      <c r="G9" s="8" t="s">
        <v>52</v>
      </c>
      <c r="H9" s="8"/>
      <c r="I9" s="8" t="s">
        <v>3</v>
      </c>
      <c r="J9" s="8"/>
      <c r="K9" s="8" t="s">
        <v>3</v>
      </c>
      <c r="L9" s="8"/>
      <c r="M9" s="8" t="s">
        <v>4</v>
      </c>
      <c r="N9" s="8"/>
    </row>
    <row r="10" spans="1:15" ht="13.8" x14ac:dyDescent="0.25">
      <c r="A10" s="6">
        <v>45275</v>
      </c>
      <c r="B10" s="6"/>
      <c r="C10" s="6"/>
      <c r="D10" s="6"/>
      <c r="E10" s="4">
        <v>0</v>
      </c>
      <c r="F10" s="38"/>
      <c r="G10" s="4">
        <f t="shared" ref="G10:G40" si="0">E10*C10/2+G11</f>
        <v>929375</v>
      </c>
      <c r="H10" s="38"/>
      <c r="I10" s="4">
        <v>0</v>
      </c>
      <c r="J10" s="38"/>
      <c r="K10" s="4">
        <v>0</v>
      </c>
      <c r="L10" s="38"/>
      <c r="M10" s="4">
        <f t="shared" ref="M10:M45" si="1">SUM(E10:L10)</f>
        <v>929375</v>
      </c>
      <c r="O10" s="4"/>
    </row>
    <row r="11" spans="1:15" ht="13.8" x14ac:dyDescent="0.25">
      <c r="A11" s="6">
        <f t="shared" ref="A11:A45" si="2">EDATE(A10,6)</f>
        <v>45458</v>
      </c>
      <c r="B11" s="6"/>
      <c r="C11" s="35">
        <v>0.05</v>
      </c>
      <c r="D11" s="6"/>
      <c r="E11" s="4">
        <v>735000</v>
      </c>
      <c r="F11" s="38"/>
      <c r="G11" s="4">
        <f t="shared" si="0"/>
        <v>929375</v>
      </c>
      <c r="H11" s="38"/>
      <c r="I11" s="4">
        <v>0</v>
      </c>
      <c r="J11" s="38"/>
      <c r="K11" s="4">
        <v>0</v>
      </c>
      <c r="L11" s="38"/>
      <c r="M11" s="4">
        <f t="shared" si="1"/>
        <v>1664375</v>
      </c>
      <c r="N11" s="32"/>
      <c r="O11" s="4"/>
    </row>
    <row r="12" spans="1:15" ht="13.8" x14ac:dyDescent="0.25">
      <c r="A12" s="6">
        <f t="shared" si="2"/>
        <v>45641</v>
      </c>
      <c r="B12" s="6"/>
      <c r="C12" s="6"/>
      <c r="D12" s="6"/>
      <c r="E12" s="4">
        <v>0</v>
      </c>
      <c r="F12" s="38"/>
      <c r="G12" s="4">
        <f t="shared" si="0"/>
        <v>911000</v>
      </c>
      <c r="H12" s="38"/>
      <c r="I12" s="4">
        <v>0</v>
      </c>
      <c r="J12" s="38"/>
      <c r="K12" s="4">
        <v>0</v>
      </c>
      <c r="L12" s="38"/>
      <c r="M12" s="4">
        <f t="shared" si="1"/>
        <v>911000</v>
      </c>
      <c r="O12" s="4"/>
    </row>
    <row r="13" spans="1:15" ht="13.8" x14ac:dyDescent="0.25">
      <c r="A13" s="6">
        <f t="shared" si="2"/>
        <v>45823</v>
      </c>
      <c r="B13" s="6"/>
      <c r="C13" s="35">
        <v>0.05</v>
      </c>
      <c r="D13" s="6"/>
      <c r="E13" s="4">
        <v>850000</v>
      </c>
      <c r="F13" s="38"/>
      <c r="G13" s="4">
        <f t="shared" si="0"/>
        <v>911000</v>
      </c>
      <c r="H13" s="38"/>
      <c r="I13" s="4">
        <v>0</v>
      </c>
      <c r="J13" s="38"/>
      <c r="K13" s="4">
        <v>0</v>
      </c>
      <c r="L13" s="38"/>
      <c r="M13" s="4">
        <f t="shared" si="1"/>
        <v>1761000</v>
      </c>
      <c r="N13" s="32"/>
      <c r="O13" s="4"/>
    </row>
    <row r="14" spans="1:15" ht="13.8" x14ac:dyDescent="0.25">
      <c r="A14" s="6">
        <f t="shared" si="2"/>
        <v>46006</v>
      </c>
      <c r="B14" s="6"/>
      <c r="C14" s="6"/>
      <c r="D14" s="6"/>
      <c r="E14" s="4">
        <v>0</v>
      </c>
      <c r="F14" s="38"/>
      <c r="G14" s="4">
        <f t="shared" si="0"/>
        <v>889750</v>
      </c>
      <c r="H14" s="38"/>
      <c r="I14" s="4">
        <v>0</v>
      </c>
      <c r="J14" s="38"/>
      <c r="K14" s="4">
        <v>0</v>
      </c>
      <c r="L14" s="38"/>
      <c r="M14" s="4">
        <f t="shared" si="1"/>
        <v>889750</v>
      </c>
      <c r="O14" s="4"/>
    </row>
    <row r="15" spans="1:15" ht="13.8" x14ac:dyDescent="0.25">
      <c r="A15" s="6">
        <f t="shared" si="2"/>
        <v>46188</v>
      </c>
      <c r="B15" s="6"/>
      <c r="C15" s="35">
        <v>0.05</v>
      </c>
      <c r="D15" s="6"/>
      <c r="E15" s="4">
        <v>975000</v>
      </c>
      <c r="F15" s="38"/>
      <c r="G15" s="4">
        <f t="shared" si="0"/>
        <v>889750</v>
      </c>
      <c r="H15" s="38"/>
      <c r="I15" s="4">
        <v>0</v>
      </c>
      <c r="J15" s="38"/>
      <c r="K15" s="4">
        <v>0</v>
      </c>
      <c r="L15" s="38"/>
      <c r="M15" s="4">
        <f t="shared" si="1"/>
        <v>1864750</v>
      </c>
      <c r="N15" s="32"/>
      <c r="O15" s="4"/>
    </row>
    <row r="16" spans="1:15" ht="13.8" x14ac:dyDescent="0.25">
      <c r="A16" s="6">
        <f t="shared" si="2"/>
        <v>46371</v>
      </c>
      <c r="B16" s="6"/>
      <c r="C16" s="35"/>
      <c r="D16" s="6"/>
      <c r="E16" s="4">
        <v>0</v>
      </c>
      <c r="F16" s="38"/>
      <c r="G16" s="4">
        <f t="shared" si="0"/>
        <v>865375</v>
      </c>
      <c r="H16" s="38"/>
      <c r="I16" s="4">
        <v>0</v>
      </c>
      <c r="J16" s="38"/>
      <c r="K16" s="4">
        <v>0</v>
      </c>
      <c r="L16" s="38"/>
      <c r="M16" s="4">
        <f t="shared" si="1"/>
        <v>865375</v>
      </c>
      <c r="O16" s="4"/>
    </row>
    <row r="17" spans="1:15" ht="13.8" x14ac:dyDescent="0.25">
      <c r="A17" s="6">
        <f t="shared" si="2"/>
        <v>46553</v>
      </c>
      <c r="B17" s="6"/>
      <c r="C17" s="35">
        <v>0.05</v>
      </c>
      <c r="D17" s="6"/>
      <c r="E17" s="4">
        <v>1105000</v>
      </c>
      <c r="F17" s="38"/>
      <c r="G17" s="4">
        <f t="shared" si="0"/>
        <v>865375</v>
      </c>
      <c r="H17" s="38"/>
      <c r="I17" s="4">
        <v>0</v>
      </c>
      <c r="J17" s="38"/>
      <c r="K17" s="4">
        <v>0</v>
      </c>
      <c r="L17" s="38"/>
      <c r="M17" s="4">
        <f t="shared" si="1"/>
        <v>1970375</v>
      </c>
      <c r="N17" s="32"/>
      <c r="O17" s="4"/>
    </row>
    <row r="18" spans="1:15" ht="13.8" x14ac:dyDescent="0.25">
      <c r="A18" s="6">
        <f t="shared" si="2"/>
        <v>46736</v>
      </c>
      <c r="B18" s="6"/>
      <c r="C18" s="35"/>
      <c r="D18" s="6"/>
      <c r="E18" s="4">
        <v>0</v>
      </c>
      <c r="F18" s="38"/>
      <c r="G18" s="4">
        <f t="shared" si="0"/>
        <v>837750</v>
      </c>
      <c r="H18" s="38"/>
      <c r="I18" s="4">
        <v>0</v>
      </c>
      <c r="J18" s="38"/>
      <c r="K18" s="4">
        <v>0</v>
      </c>
      <c r="L18" s="38"/>
      <c r="M18" s="4">
        <f t="shared" si="1"/>
        <v>837750</v>
      </c>
      <c r="O18" s="4"/>
    </row>
    <row r="19" spans="1:15" ht="13.8" x14ac:dyDescent="0.25">
      <c r="A19" s="6">
        <f t="shared" si="2"/>
        <v>46919</v>
      </c>
      <c r="B19" s="6"/>
      <c r="C19" s="35">
        <v>0.05</v>
      </c>
      <c r="D19" s="6"/>
      <c r="E19" s="4">
        <v>1245000</v>
      </c>
      <c r="F19" s="38"/>
      <c r="G19" s="4">
        <f t="shared" si="0"/>
        <v>837750</v>
      </c>
      <c r="H19" s="38"/>
      <c r="I19" s="4">
        <v>0</v>
      </c>
      <c r="J19" s="38"/>
      <c r="K19" s="4">
        <v>0</v>
      </c>
      <c r="L19" s="38"/>
      <c r="M19" s="4">
        <f t="shared" si="1"/>
        <v>2082750</v>
      </c>
      <c r="N19" s="32"/>
      <c r="O19" s="4"/>
    </row>
    <row r="20" spans="1:15" ht="13.8" x14ac:dyDescent="0.25">
      <c r="A20" s="6">
        <f t="shared" si="2"/>
        <v>47102</v>
      </c>
      <c r="B20" s="6"/>
      <c r="C20" s="35"/>
      <c r="D20" s="6"/>
      <c r="E20" s="4">
        <v>0</v>
      </c>
      <c r="F20" s="38"/>
      <c r="G20" s="4">
        <f t="shared" si="0"/>
        <v>806625</v>
      </c>
      <c r="H20" s="38"/>
      <c r="I20" s="4">
        <v>0</v>
      </c>
      <c r="J20" s="38"/>
      <c r="K20" s="4">
        <v>0</v>
      </c>
      <c r="L20" s="38"/>
      <c r="M20" s="4">
        <f t="shared" si="1"/>
        <v>806625</v>
      </c>
      <c r="N20" s="4"/>
    </row>
    <row r="21" spans="1:15" ht="13.8" x14ac:dyDescent="0.25">
      <c r="A21" s="6">
        <f t="shared" si="2"/>
        <v>47284</v>
      </c>
      <c r="B21" s="6"/>
      <c r="C21" s="35">
        <v>0.05</v>
      </c>
      <c r="D21" s="6"/>
      <c r="E21" s="4">
        <v>1395000</v>
      </c>
      <c r="F21" s="38"/>
      <c r="G21" s="4">
        <f t="shared" si="0"/>
        <v>806625</v>
      </c>
      <c r="H21" s="38"/>
      <c r="I21" s="4">
        <v>0</v>
      </c>
      <c r="J21" s="38"/>
      <c r="K21" s="4">
        <v>0</v>
      </c>
      <c r="L21" s="38"/>
      <c r="M21" s="4">
        <f t="shared" si="1"/>
        <v>2201625</v>
      </c>
      <c r="N21" s="3"/>
    </row>
    <row r="22" spans="1:15" ht="13.8" x14ac:dyDescent="0.25">
      <c r="A22" s="6">
        <f t="shared" si="2"/>
        <v>47467</v>
      </c>
      <c r="B22" s="6"/>
      <c r="C22" s="35"/>
      <c r="D22" s="6"/>
      <c r="E22" s="4">
        <v>0</v>
      </c>
      <c r="F22" s="38"/>
      <c r="G22" s="4">
        <f t="shared" si="0"/>
        <v>771750</v>
      </c>
      <c r="H22" s="38"/>
      <c r="I22" s="4">
        <v>0</v>
      </c>
      <c r="J22" s="38"/>
      <c r="K22" s="4">
        <v>0</v>
      </c>
      <c r="L22" s="38"/>
      <c r="M22" s="4">
        <f t="shared" si="1"/>
        <v>771750</v>
      </c>
      <c r="N22" s="4"/>
    </row>
    <row r="23" spans="1:15" ht="13.8" x14ac:dyDescent="0.25">
      <c r="A23" s="6">
        <f t="shared" si="2"/>
        <v>47649</v>
      </c>
      <c r="B23" s="6"/>
      <c r="C23" s="35">
        <v>5.2499999999999998E-2</v>
      </c>
      <c r="D23" s="6"/>
      <c r="E23" s="4">
        <v>1555000</v>
      </c>
      <c r="F23" s="38"/>
      <c r="G23" s="4">
        <f t="shared" si="0"/>
        <v>771750</v>
      </c>
      <c r="H23" s="38"/>
      <c r="I23" s="4">
        <v>0</v>
      </c>
      <c r="J23" s="38"/>
      <c r="K23" s="4">
        <v>0</v>
      </c>
      <c r="L23" s="38"/>
      <c r="M23" s="4">
        <f t="shared" si="1"/>
        <v>2326750</v>
      </c>
      <c r="N23" s="3"/>
    </row>
    <row r="24" spans="1:15" ht="13.8" x14ac:dyDescent="0.25">
      <c r="A24" s="6">
        <f t="shared" si="2"/>
        <v>47832</v>
      </c>
      <c r="B24" s="6"/>
      <c r="C24" s="35"/>
      <c r="D24" s="6"/>
      <c r="E24" s="4">
        <v>0</v>
      </c>
      <c r="F24" s="38"/>
      <c r="G24" s="4">
        <f t="shared" si="0"/>
        <v>730931.25</v>
      </c>
      <c r="H24" s="38"/>
      <c r="I24" s="4">
        <v>0</v>
      </c>
      <c r="J24" s="38"/>
      <c r="K24" s="4">
        <v>0</v>
      </c>
      <c r="L24" s="38"/>
      <c r="M24" s="4">
        <f t="shared" si="1"/>
        <v>730931.25</v>
      </c>
      <c r="N24" s="4"/>
    </row>
    <row r="25" spans="1:15" ht="13.8" x14ac:dyDescent="0.25">
      <c r="A25" s="6">
        <f t="shared" si="2"/>
        <v>48014</v>
      </c>
      <c r="B25" s="6"/>
      <c r="C25" s="35">
        <v>5.2499999999999998E-2</v>
      </c>
      <c r="D25" s="6"/>
      <c r="E25" s="4">
        <v>1730000</v>
      </c>
      <c r="F25" s="38"/>
      <c r="G25" s="4">
        <f t="shared" si="0"/>
        <v>730931.25</v>
      </c>
      <c r="H25" s="38"/>
      <c r="I25" s="4">
        <v>0</v>
      </c>
      <c r="J25" s="38"/>
      <c r="K25" s="4">
        <v>0</v>
      </c>
      <c r="L25" s="38"/>
      <c r="M25" s="4">
        <f t="shared" si="1"/>
        <v>2460931.25</v>
      </c>
      <c r="N25" s="3"/>
    </row>
    <row r="26" spans="1:15" ht="13.8" x14ac:dyDescent="0.25">
      <c r="A26" s="6">
        <f t="shared" si="2"/>
        <v>48197</v>
      </c>
      <c r="B26" s="6"/>
      <c r="C26" s="35"/>
      <c r="D26" s="6"/>
      <c r="E26" s="4">
        <v>0</v>
      </c>
      <c r="F26" s="38"/>
      <c r="G26" s="4">
        <f t="shared" si="0"/>
        <v>685518.75</v>
      </c>
      <c r="H26" s="38"/>
      <c r="I26" s="4">
        <v>0</v>
      </c>
      <c r="J26" s="38"/>
      <c r="K26" s="4">
        <v>0</v>
      </c>
      <c r="L26" s="38"/>
      <c r="M26" s="4">
        <f t="shared" si="1"/>
        <v>685518.75</v>
      </c>
      <c r="N26" s="4"/>
    </row>
    <row r="27" spans="1:15" ht="13.8" x14ac:dyDescent="0.25">
      <c r="A27" s="6">
        <f t="shared" si="2"/>
        <v>48380</v>
      </c>
      <c r="B27" s="6"/>
      <c r="C27" s="35">
        <v>5.2499999999999998E-2</v>
      </c>
      <c r="D27" s="6"/>
      <c r="E27" s="4">
        <v>1915000</v>
      </c>
      <c r="F27" s="38"/>
      <c r="G27" s="4">
        <f t="shared" si="0"/>
        <v>685518.75</v>
      </c>
      <c r="H27" s="38"/>
      <c r="I27" s="4">
        <v>0</v>
      </c>
      <c r="J27" s="38"/>
      <c r="K27" s="4">
        <v>0</v>
      </c>
      <c r="L27" s="38"/>
      <c r="M27" s="4">
        <f t="shared" si="1"/>
        <v>2600518.75</v>
      </c>
      <c r="N27" s="3"/>
    </row>
    <row r="28" spans="1:15" ht="13.8" x14ac:dyDescent="0.25">
      <c r="A28" s="6">
        <f t="shared" si="2"/>
        <v>48563</v>
      </c>
      <c r="B28" s="6"/>
      <c r="C28" s="35"/>
      <c r="D28" s="6"/>
      <c r="E28" s="4">
        <v>0</v>
      </c>
      <c r="F28" s="38"/>
      <c r="G28" s="4">
        <f t="shared" si="0"/>
        <v>635250</v>
      </c>
      <c r="H28" s="38"/>
      <c r="I28" s="4">
        <v>0</v>
      </c>
      <c r="J28" s="38"/>
      <c r="K28" s="4">
        <v>0</v>
      </c>
      <c r="L28" s="38"/>
      <c r="M28" s="4">
        <f t="shared" si="1"/>
        <v>635250</v>
      </c>
      <c r="N28" s="4"/>
    </row>
    <row r="29" spans="1:15" ht="13.8" x14ac:dyDescent="0.25">
      <c r="A29" s="6">
        <f t="shared" si="2"/>
        <v>48745</v>
      </c>
      <c r="B29" s="6"/>
      <c r="C29" s="35">
        <v>5.2499999999999998E-2</v>
      </c>
      <c r="D29" s="6"/>
      <c r="E29" s="4">
        <v>2115000</v>
      </c>
      <c r="F29" s="38"/>
      <c r="G29" s="4">
        <f t="shared" si="0"/>
        <v>635250</v>
      </c>
      <c r="H29" s="38"/>
      <c r="I29" s="4">
        <v>0</v>
      </c>
      <c r="J29" s="38"/>
      <c r="K29" s="4">
        <v>0</v>
      </c>
      <c r="L29" s="38"/>
      <c r="M29" s="4">
        <f t="shared" si="1"/>
        <v>2750250</v>
      </c>
      <c r="N29" s="3"/>
    </row>
    <row r="30" spans="1:15" ht="13.8" x14ac:dyDescent="0.25">
      <c r="A30" s="6">
        <f t="shared" si="2"/>
        <v>48928</v>
      </c>
      <c r="B30" s="6"/>
      <c r="C30" s="35"/>
      <c r="D30" s="6"/>
      <c r="E30" s="4">
        <v>0</v>
      </c>
      <c r="F30" s="38"/>
      <c r="G30" s="4">
        <f t="shared" si="0"/>
        <v>579731.25</v>
      </c>
      <c r="H30" s="38"/>
      <c r="I30" s="4">
        <v>0</v>
      </c>
      <c r="J30" s="38"/>
      <c r="K30" s="4">
        <v>0</v>
      </c>
      <c r="L30" s="38"/>
      <c r="M30" s="4">
        <f t="shared" si="1"/>
        <v>579731.25</v>
      </c>
      <c r="N30" s="4"/>
    </row>
    <row r="31" spans="1:15" ht="13.8" x14ac:dyDescent="0.25">
      <c r="A31" s="6">
        <f t="shared" si="2"/>
        <v>49110</v>
      </c>
      <c r="B31" s="6"/>
      <c r="C31" s="35">
        <v>5.2499999999999998E-2</v>
      </c>
      <c r="D31" s="6"/>
      <c r="E31" s="4">
        <v>2330000</v>
      </c>
      <c r="F31" s="38"/>
      <c r="G31" s="4">
        <f t="shared" si="0"/>
        <v>579731.25</v>
      </c>
      <c r="H31" s="38"/>
      <c r="I31" s="4">
        <v>0</v>
      </c>
      <c r="J31" s="38"/>
      <c r="K31" s="4">
        <v>0</v>
      </c>
      <c r="L31" s="38"/>
      <c r="M31" s="4">
        <f t="shared" si="1"/>
        <v>2909731.25</v>
      </c>
      <c r="N31" s="3"/>
    </row>
    <row r="32" spans="1:15" ht="13.8" x14ac:dyDescent="0.25">
      <c r="A32" s="6">
        <f t="shared" si="2"/>
        <v>49293</v>
      </c>
      <c r="B32" s="6"/>
      <c r="C32" s="35"/>
      <c r="D32" s="6"/>
      <c r="E32" s="4">
        <v>0</v>
      </c>
      <c r="F32" s="38"/>
      <c r="G32" s="4">
        <f t="shared" si="0"/>
        <v>518568.75</v>
      </c>
      <c r="H32" s="38"/>
      <c r="I32" s="4">
        <v>0</v>
      </c>
      <c r="J32" s="38"/>
      <c r="K32" s="4">
        <v>0</v>
      </c>
      <c r="L32" s="38"/>
      <c r="M32" s="4">
        <f t="shared" si="1"/>
        <v>518568.75</v>
      </c>
      <c r="N32" s="4"/>
    </row>
    <row r="33" spans="1:14" ht="13.8" x14ac:dyDescent="0.25">
      <c r="A33" s="6">
        <f t="shared" si="2"/>
        <v>49475</v>
      </c>
      <c r="B33" s="6"/>
      <c r="C33" s="35">
        <v>5.2499999999999998E-2</v>
      </c>
      <c r="D33" s="6"/>
      <c r="E33" s="4">
        <v>2555000</v>
      </c>
      <c r="F33" s="38"/>
      <c r="G33" s="4">
        <f t="shared" si="0"/>
        <v>518568.75</v>
      </c>
      <c r="H33" s="38"/>
      <c r="I33" s="4">
        <v>0</v>
      </c>
      <c r="J33" s="38"/>
      <c r="K33" s="4">
        <v>0</v>
      </c>
      <c r="L33" s="38"/>
      <c r="M33" s="4">
        <f t="shared" si="1"/>
        <v>3073568.75</v>
      </c>
      <c r="N33" s="3"/>
    </row>
    <row r="34" spans="1:14" ht="13.8" x14ac:dyDescent="0.25">
      <c r="A34" s="6">
        <f t="shared" si="2"/>
        <v>49658</v>
      </c>
      <c r="B34" s="6"/>
      <c r="C34" s="35"/>
      <c r="D34" s="6"/>
      <c r="E34" s="4">
        <v>0</v>
      </c>
      <c r="F34" s="38"/>
      <c r="G34" s="4">
        <f t="shared" si="0"/>
        <v>451500</v>
      </c>
      <c r="H34" s="38"/>
      <c r="I34" s="4">
        <v>0</v>
      </c>
      <c r="J34" s="38"/>
      <c r="K34" s="4">
        <v>0</v>
      </c>
      <c r="L34" s="38"/>
      <c r="M34" s="4">
        <f t="shared" si="1"/>
        <v>451500</v>
      </c>
      <c r="N34" s="4"/>
    </row>
    <row r="35" spans="1:14" ht="13.8" x14ac:dyDescent="0.25">
      <c r="A35" s="6">
        <f t="shared" si="2"/>
        <v>49841</v>
      </c>
      <c r="B35" s="6"/>
      <c r="C35" s="35">
        <v>5.2499999999999998E-2</v>
      </c>
      <c r="D35" s="6"/>
      <c r="E35" s="4">
        <v>2795000</v>
      </c>
      <c r="F35" s="38"/>
      <c r="G35" s="4">
        <f t="shared" si="0"/>
        <v>451500</v>
      </c>
      <c r="H35" s="38"/>
      <c r="I35" s="4">
        <v>0</v>
      </c>
      <c r="J35" s="38"/>
      <c r="K35" s="4">
        <v>0</v>
      </c>
      <c r="L35" s="38"/>
      <c r="M35" s="4">
        <f t="shared" si="1"/>
        <v>3246500</v>
      </c>
      <c r="N35" s="3"/>
    </row>
    <row r="36" spans="1:14" ht="13.8" x14ac:dyDescent="0.25">
      <c r="A36" s="6">
        <f t="shared" si="2"/>
        <v>50024</v>
      </c>
      <c r="B36" s="6"/>
      <c r="C36" s="35"/>
      <c r="D36" s="6"/>
      <c r="E36" s="4">
        <v>0</v>
      </c>
      <c r="F36" s="38"/>
      <c r="G36" s="4">
        <f t="shared" si="0"/>
        <v>378131.25</v>
      </c>
      <c r="H36" s="38"/>
      <c r="I36" s="4">
        <v>0</v>
      </c>
      <c r="J36" s="38"/>
      <c r="K36" s="4">
        <v>0</v>
      </c>
      <c r="L36" s="38"/>
      <c r="M36" s="4">
        <f t="shared" si="1"/>
        <v>378131.25</v>
      </c>
      <c r="N36" s="4"/>
    </row>
    <row r="37" spans="1:14" ht="13.8" x14ac:dyDescent="0.25">
      <c r="A37" s="6">
        <f t="shared" si="2"/>
        <v>50206</v>
      </c>
      <c r="B37" s="6"/>
      <c r="C37" s="35">
        <v>5.2499999999999998E-2</v>
      </c>
      <c r="D37" s="6"/>
      <c r="E37" s="4">
        <v>3055000</v>
      </c>
      <c r="F37" s="38"/>
      <c r="G37" s="4">
        <f t="shared" si="0"/>
        <v>378131.25</v>
      </c>
      <c r="H37" s="38"/>
      <c r="I37" s="4">
        <v>0</v>
      </c>
      <c r="J37" s="38"/>
      <c r="K37" s="4">
        <v>0</v>
      </c>
      <c r="L37" s="38"/>
      <c r="M37" s="4">
        <f t="shared" si="1"/>
        <v>3433131.25</v>
      </c>
      <c r="N37" s="3"/>
    </row>
    <row r="38" spans="1:14" ht="13.8" x14ac:dyDescent="0.25">
      <c r="A38" s="6">
        <f t="shared" si="2"/>
        <v>50389</v>
      </c>
      <c r="B38" s="6"/>
      <c r="C38" s="35"/>
      <c r="D38" s="6"/>
      <c r="E38" s="4">
        <v>0</v>
      </c>
      <c r="F38" s="38"/>
      <c r="G38" s="4">
        <f t="shared" si="0"/>
        <v>297937.5</v>
      </c>
      <c r="H38" s="38"/>
      <c r="I38" s="4">
        <v>0</v>
      </c>
      <c r="J38" s="38"/>
      <c r="K38" s="4">
        <v>0</v>
      </c>
      <c r="L38" s="38"/>
      <c r="M38" s="4">
        <f t="shared" si="1"/>
        <v>297937.5</v>
      </c>
      <c r="N38" s="4"/>
    </row>
    <row r="39" spans="1:14" ht="13.8" x14ac:dyDescent="0.25">
      <c r="A39" s="6">
        <f t="shared" si="2"/>
        <v>50571</v>
      </c>
      <c r="B39" s="6"/>
      <c r="C39" s="35">
        <v>5.2499999999999998E-2</v>
      </c>
      <c r="D39" s="6"/>
      <c r="E39" s="4">
        <v>3330000</v>
      </c>
      <c r="F39" s="38"/>
      <c r="G39" s="4">
        <f t="shared" si="0"/>
        <v>297937.5</v>
      </c>
      <c r="H39" s="38"/>
      <c r="I39" s="4">
        <v>0</v>
      </c>
      <c r="J39" s="38"/>
      <c r="K39" s="4">
        <v>0</v>
      </c>
      <c r="L39" s="38"/>
      <c r="M39" s="4">
        <f t="shared" si="1"/>
        <v>3627937.5</v>
      </c>
      <c r="N39" s="3"/>
    </row>
    <row r="40" spans="1:14" ht="13.8" x14ac:dyDescent="0.25">
      <c r="A40" s="6">
        <f t="shared" si="2"/>
        <v>50754</v>
      </c>
      <c r="B40" s="6"/>
      <c r="C40" s="35"/>
      <c r="D40" s="6"/>
      <c r="E40" s="4">
        <v>0</v>
      </c>
      <c r="F40" s="38"/>
      <c r="G40" s="4">
        <f t="shared" si="0"/>
        <v>210525</v>
      </c>
      <c r="H40" s="38"/>
      <c r="I40" s="4">
        <v>0</v>
      </c>
      <c r="J40" s="38"/>
      <c r="K40" s="4">
        <v>0</v>
      </c>
      <c r="L40" s="38"/>
      <c r="M40" s="4">
        <f t="shared" si="1"/>
        <v>210525</v>
      </c>
      <c r="N40" s="4"/>
    </row>
    <row r="41" spans="1:14" ht="13.8" x14ac:dyDescent="0.25">
      <c r="A41" s="6">
        <f t="shared" si="2"/>
        <v>50936</v>
      </c>
      <c r="B41" s="6"/>
      <c r="C41" s="35">
        <v>5.2499999999999998E-2</v>
      </c>
      <c r="D41" s="6"/>
      <c r="E41" s="4">
        <v>3620000</v>
      </c>
      <c r="F41" s="38"/>
      <c r="G41" s="4">
        <f t="shared" ref="G41:G44" si="3">E41*C41/2+G42</f>
        <v>210525</v>
      </c>
      <c r="H41" s="38"/>
      <c r="I41" s="4">
        <v>0</v>
      </c>
      <c r="J41" s="38"/>
      <c r="K41" s="4">
        <v>0</v>
      </c>
      <c r="L41" s="38"/>
      <c r="M41" s="4">
        <f t="shared" si="1"/>
        <v>3830525</v>
      </c>
      <c r="N41" s="3"/>
    </row>
    <row r="42" spans="1:14" ht="13.8" x14ac:dyDescent="0.25">
      <c r="A42" s="6">
        <f t="shared" si="2"/>
        <v>51119</v>
      </c>
      <c r="B42" s="6"/>
      <c r="C42" s="35"/>
      <c r="D42" s="6"/>
      <c r="E42" s="4">
        <v>0</v>
      </c>
      <c r="F42" s="38"/>
      <c r="G42" s="4">
        <f t="shared" si="3"/>
        <v>115500</v>
      </c>
      <c r="H42" s="38"/>
      <c r="I42" s="4">
        <v>0</v>
      </c>
      <c r="J42" s="38"/>
      <c r="K42" s="4">
        <v>0</v>
      </c>
      <c r="L42" s="38"/>
      <c r="M42" s="4">
        <f t="shared" si="1"/>
        <v>115500</v>
      </c>
      <c r="N42" s="4"/>
    </row>
    <row r="43" spans="1:14" ht="13.8" x14ac:dyDescent="0.25">
      <c r="A43" s="6">
        <f t="shared" si="2"/>
        <v>51302</v>
      </c>
      <c r="B43" s="6"/>
      <c r="C43" s="35">
        <v>5.2499999999999998E-2</v>
      </c>
      <c r="D43" s="6"/>
      <c r="E43" s="4">
        <v>3935000</v>
      </c>
      <c r="F43" s="38"/>
      <c r="G43" s="4">
        <f t="shared" si="3"/>
        <v>115500</v>
      </c>
      <c r="H43" s="38"/>
      <c r="I43" s="4">
        <v>0</v>
      </c>
      <c r="J43" s="38"/>
      <c r="K43" s="4">
        <v>0</v>
      </c>
      <c r="L43" s="38"/>
      <c r="M43" s="4">
        <f t="shared" si="1"/>
        <v>4050500</v>
      </c>
      <c r="N43" s="3"/>
    </row>
    <row r="44" spans="1:14" ht="13.8" x14ac:dyDescent="0.25">
      <c r="A44" s="6">
        <f t="shared" si="2"/>
        <v>51485</v>
      </c>
      <c r="B44" s="6"/>
      <c r="C44" s="35"/>
      <c r="D44" s="6"/>
      <c r="E44" s="4">
        <v>0</v>
      </c>
      <c r="F44" s="38"/>
      <c r="G44" s="4">
        <f t="shared" si="3"/>
        <v>12206.25</v>
      </c>
      <c r="H44" s="38"/>
      <c r="I44" s="4">
        <v>0</v>
      </c>
      <c r="J44" s="38"/>
      <c r="K44" s="4">
        <v>0</v>
      </c>
      <c r="L44" s="38"/>
      <c r="M44" s="4">
        <f t="shared" si="1"/>
        <v>12206.25</v>
      </c>
      <c r="N44" s="4"/>
    </row>
    <row r="45" spans="1:14" ht="13.8" x14ac:dyDescent="0.25">
      <c r="A45" s="6">
        <f t="shared" si="2"/>
        <v>51667</v>
      </c>
      <c r="B45" s="6"/>
      <c r="C45" s="35">
        <v>5.2499999999999998E-2</v>
      </c>
      <c r="D45" s="6"/>
      <c r="E45" s="4">
        <v>465000</v>
      </c>
      <c r="F45" s="38"/>
      <c r="G45" s="4">
        <f>E45*C45/2+G46</f>
        <v>12206.25</v>
      </c>
      <c r="H45" s="38"/>
      <c r="I45" s="4">
        <v>0</v>
      </c>
      <c r="J45" s="38"/>
      <c r="K45" s="4">
        <v>0</v>
      </c>
      <c r="L45" s="38"/>
      <c r="M45" s="4">
        <f t="shared" si="1"/>
        <v>477206.25</v>
      </c>
      <c r="N45" s="3"/>
    </row>
    <row r="46" spans="1:14" ht="4.8" customHeight="1" x14ac:dyDescent="0.25">
      <c r="A46" s="6"/>
      <c r="B46" s="6"/>
      <c r="C46" s="35"/>
      <c r="D46" s="6"/>
      <c r="E46" s="4"/>
      <c r="F46" s="38"/>
      <c r="G46" s="4"/>
      <c r="H46" s="38"/>
      <c r="I46" s="4"/>
      <c r="J46" s="38"/>
      <c r="K46" s="4"/>
      <c r="L46" s="38"/>
      <c r="M46" s="4"/>
      <c r="N46" s="4"/>
    </row>
    <row r="47" spans="1:14" ht="4.2" customHeight="1" x14ac:dyDescent="0.25">
      <c r="A47" s="6"/>
      <c r="B47" s="6"/>
      <c r="C47" s="35"/>
      <c r="D47" s="6"/>
      <c r="E47" s="4"/>
      <c r="F47" s="38"/>
      <c r="G47" s="4"/>
      <c r="H47" s="38"/>
      <c r="I47" s="4"/>
      <c r="J47" s="38"/>
      <c r="K47" s="4"/>
      <c r="L47" s="38"/>
      <c r="M47" s="4"/>
      <c r="N47" s="4"/>
    </row>
    <row r="48" spans="1:14" ht="6" customHeight="1" x14ac:dyDescent="0.25">
      <c r="A48" s="6"/>
      <c r="B48" s="6"/>
      <c r="C48" s="6"/>
      <c r="D48" s="6"/>
      <c r="E48" s="37"/>
      <c r="F48" s="36"/>
      <c r="G48" s="37"/>
      <c r="H48" s="36"/>
      <c r="I48" s="37"/>
      <c r="J48" s="36"/>
      <c r="K48" s="37"/>
      <c r="L48" s="36"/>
      <c r="M48" s="37"/>
      <c r="N48" s="3"/>
    </row>
    <row r="49" spans="1:14" ht="14.4" thickBot="1" x14ac:dyDescent="0.3">
      <c r="A49" s="6"/>
      <c r="B49" s="6"/>
      <c r="C49" s="6" t="s">
        <v>55</v>
      </c>
      <c r="D49" s="6"/>
      <c r="E49" s="42">
        <f>SUM(E10:E48)</f>
        <v>35705000</v>
      </c>
      <c r="F49" s="36"/>
      <c r="G49" s="42">
        <f>SUM(G10:G48)</f>
        <v>21254850</v>
      </c>
      <c r="H49" s="36"/>
      <c r="I49" s="42">
        <f>SUM(I10:I48)</f>
        <v>0</v>
      </c>
      <c r="J49" s="36"/>
      <c r="K49" s="42">
        <f>SUM(K10:K48)</f>
        <v>0</v>
      </c>
      <c r="L49" s="36"/>
      <c r="M49" s="42">
        <f>SUM(M10:M48)</f>
        <v>56959850</v>
      </c>
      <c r="N49" s="3"/>
    </row>
    <row r="50" spans="1:14" ht="14.4" thickTop="1" x14ac:dyDescent="0.25">
      <c r="A50" s="6"/>
      <c r="B50" s="6"/>
      <c r="C50" s="6"/>
      <c r="D50" s="6"/>
      <c r="E50" s="36"/>
      <c r="F50" s="36"/>
      <c r="G50" s="36"/>
      <c r="H50" s="36"/>
      <c r="I50" s="36"/>
      <c r="J50" s="36"/>
      <c r="K50" s="36"/>
      <c r="L50" s="36"/>
      <c r="M50" s="36"/>
      <c r="N50" s="3"/>
    </row>
    <row r="51" spans="1:14" ht="13.8" x14ac:dyDescent="0.25">
      <c r="A51" s="6"/>
      <c r="B51" s="6"/>
      <c r="C51" s="6"/>
      <c r="D51" s="6"/>
      <c r="E51" s="36"/>
      <c r="F51" s="36"/>
      <c r="G51" s="36"/>
      <c r="H51" s="36"/>
      <c r="I51" s="36"/>
      <c r="J51" s="36"/>
      <c r="K51" s="36"/>
      <c r="L51" s="36"/>
      <c r="M51" s="36"/>
      <c r="N51" s="3"/>
    </row>
    <row r="52" spans="1:14" ht="13.8" x14ac:dyDescent="0.25">
      <c r="A52" s="12"/>
      <c r="B52" s="6"/>
      <c r="C52" s="31"/>
      <c r="D52" s="6"/>
      <c r="J52" s="36"/>
      <c r="K52" s="36"/>
      <c r="L52" s="36"/>
      <c r="M52" s="4"/>
      <c r="N52" s="4"/>
    </row>
    <row r="54" spans="1:14" ht="13.8" x14ac:dyDescent="0.25">
      <c r="E54" s="38"/>
      <c r="N54" s="32"/>
    </row>
    <row r="55" spans="1:14" ht="13.8" x14ac:dyDescent="0.25">
      <c r="E55" s="38"/>
    </row>
    <row r="56" spans="1:14" ht="13.8" x14ac:dyDescent="0.25">
      <c r="E56" s="38"/>
    </row>
    <row r="57" spans="1:14" ht="13.8" x14ac:dyDescent="0.25">
      <c r="E57" s="38"/>
    </row>
  </sheetData>
  <printOptions horizontalCentered="1"/>
  <pageMargins left="0.5" right="0.5" top="0.75" bottom="0.7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V54"/>
  <sheetViews>
    <sheetView zoomScaleNormal="100" zoomScaleSheetLayoutView="100" workbookViewId="0">
      <pane xSplit="1" ySplit="8" topLeftCell="B9" activePane="bottomRight" state="frozen"/>
      <selection activeCell="K44" sqref="K44"/>
      <selection pane="topRight" activeCell="K44" sqref="K44"/>
      <selection pane="bottomLeft" activeCell="K44" sqref="K44"/>
      <selection pane="bottomRight" activeCell="K44" sqref="K44"/>
    </sheetView>
  </sheetViews>
  <sheetFormatPr defaultColWidth="10.7109375" defaultRowHeight="13.2" x14ac:dyDescent="0.25"/>
  <cols>
    <col min="1" max="1" width="21.85546875" style="2" customWidth="1"/>
    <col min="2" max="2" width="2.85546875" style="2" customWidth="1"/>
    <col min="3" max="3" width="16.42578125" style="1" customWidth="1"/>
    <col min="4" max="4" width="2.85546875" style="1" customWidth="1"/>
    <col min="5" max="5" width="16.42578125" style="1" customWidth="1"/>
    <col min="6" max="6" width="2.85546875" style="2" customWidth="1"/>
    <col min="7" max="7" width="16.42578125" style="1" customWidth="1"/>
    <col min="8" max="8" width="2.85546875" style="1" customWidth="1"/>
    <col min="9" max="9" width="18" style="1" customWidth="1"/>
    <col min="10" max="10" width="2.85546875" style="1" customWidth="1"/>
    <col min="11" max="11" width="16.42578125" style="1" customWidth="1"/>
    <col min="12" max="12" width="2.85546875" style="1" customWidth="1"/>
    <col min="13" max="13" width="19.5703125" style="1" customWidth="1"/>
    <col min="14" max="14" width="14.85546875" style="1" customWidth="1"/>
    <col min="15" max="16384" width="10.7109375" style="1"/>
  </cols>
  <sheetData>
    <row r="1" spans="1:22" ht="17.399999999999999" x14ac:dyDescent="0.3">
      <c r="A1" s="49"/>
      <c r="B1" s="49"/>
      <c r="C1" s="76" t="s">
        <v>70</v>
      </c>
      <c r="D1" s="45"/>
      <c r="E1" s="45"/>
      <c r="F1" s="49"/>
      <c r="G1" s="45"/>
      <c r="H1" s="45"/>
      <c r="I1" s="45"/>
      <c r="J1" s="45"/>
      <c r="K1" s="45"/>
      <c r="L1" s="45"/>
      <c r="M1" s="50"/>
    </row>
    <row r="2" spans="1:22" ht="17.399999999999999" x14ac:dyDescent="0.3">
      <c r="A2" s="51"/>
      <c r="B2" s="51"/>
      <c r="C2" s="76" t="s">
        <v>97</v>
      </c>
      <c r="D2" s="52"/>
      <c r="E2" s="52"/>
      <c r="F2" s="51"/>
      <c r="G2" s="52"/>
      <c r="H2" s="52"/>
      <c r="I2" s="52"/>
      <c r="J2" s="52"/>
      <c r="K2" s="52"/>
      <c r="L2" s="52"/>
      <c r="M2" s="53"/>
    </row>
    <row r="3" spans="1:22" ht="15.6" x14ac:dyDescent="0.3">
      <c r="A3" s="6"/>
      <c r="B3" s="6"/>
      <c r="C3" s="11"/>
      <c r="D3" s="11"/>
      <c r="E3" s="11"/>
      <c r="F3" s="6"/>
      <c r="G3" s="11"/>
      <c r="H3" s="11"/>
      <c r="I3" s="11"/>
      <c r="J3" s="11"/>
      <c r="K3" s="11"/>
      <c r="L3" s="11"/>
      <c r="M3" s="3"/>
    </row>
    <row r="4" spans="1:22" ht="13.8" x14ac:dyDescent="0.25">
      <c r="A4" s="33" t="s">
        <v>54</v>
      </c>
      <c r="B4" s="33"/>
      <c r="C4" s="33"/>
      <c r="D4" s="33"/>
      <c r="E4" s="34">
        <f>+'2023AB'!E5</f>
        <v>45301</v>
      </c>
      <c r="F4" s="33"/>
      <c r="G4" s="33"/>
      <c r="H4" s="40"/>
      <c r="I4" s="40"/>
      <c r="J4" s="40"/>
      <c r="K4" s="40"/>
      <c r="L4" s="40"/>
      <c r="M4" s="3"/>
    </row>
    <row r="5" spans="1:22" ht="15.6" x14ac:dyDescent="0.3">
      <c r="A5" s="6"/>
      <c r="B5" s="6"/>
      <c r="C5" s="11"/>
      <c r="D5" s="11"/>
      <c r="E5" s="11"/>
      <c r="F5" s="6"/>
      <c r="G5" s="11"/>
      <c r="H5" s="11"/>
      <c r="I5" s="11"/>
      <c r="J5" s="11"/>
      <c r="K5" s="11"/>
      <c r="L5" s="11"/>
      <c r="M5" s="3"/>
    </row>
    <row r="6" spans="1:22" ht="15.6" x14ac:dyDescent="0.3">
      <c r="A6" s="26"/>
      <c r="B6" s="26"/>
      <c r="C6" s="9"/>
      <c r="D6" s="9"/>
      <c r="E6" s="9"/>
      <c r="F6" s="26"/>
      <c r="G6" s="9"/>
      <c r="H6" s="9"/>
      <c r="I6" s="11"/>
      <c r="J6" s="11"/>
      <c r="K6" s="11"/>
      <c r="L6" s="11"/>
      <c r="M6" s="3"/>
      <c r="P6" s="6"/>
      <c r="Q6" s="6"/>
      <c r="R6" s="6"/>
      <c r="S6" s="6"/>
      <c r="T6" s="5"/>
      <c r="U6" s="5"/>
      <c r="V6" s="5"/>
    </row>
    <row r="7" spans="1:22" ht="13.8" x14ac:dyDescent="0.25">
      <c r="A7" s="7"/>
      <c r="B7" s="7"/>
      <c r="C7" s="9" t="s">
        <v>50</v>
      </c>
      <c r="D7" s="9"/>
      <c r="E7" s="8"/>
      <c r="F7" s="7"/>
      <c r="G7" s="9" t="s">
        <v>5</v>
      </c>
      <c r="H7" s="8"/>
      <c r="I7" s="9" t="s">
        <v>9</v>
      </c>
      <c r="J7" s="9"/>
      <c r="K7" s="9"/>
      <c r="L7" s="9"/>
      <c r="M7" s="9" t="s">
        <v>106</v>
      </c>
      <c r="P7" s="41"/>
      <c r="Q7" s="41"/>
      <c r="R7" s="41"/>
      <c r="S7" s="41"/>
      <c r="T7" s="5"/>
      <c r="U7" s="5"/>
      <c r="V7" s="5"/>
    </row>
    <row r="8" spans="1:22" ht="13.8" x14ac:dyDescent="0.25">
      <c r="A8" s="10" t="s">
        <v>47</v>
      </c>
      <c r="B8" s="10"/>
      <c r="C8" s="8" t="s">
        <v>51</v>
      </c>
      <c r="D8" s="8"/>
      <c r="E8" s="8" t="s">
        <v>3</v>
      </c>
      <c r="F8" s="10"/>
      <c r="G8" s="8" t="s">
        <v>3</v>
      </c>
      <c r="H8" s="8"/>
      <c r="I8" s="8" t="s">
        <v>3</v>
      </c>
      <c r="J8" s="8"/>
      <c r="K8" s="8" t="s">
        <v>4</v>
      </c>
      <c r="L8" s="8"/>
      <c r="M8" s="8" t="s">
        <v>4</v>
      </c>
      <c r="P8" s="6"/>
      <c r="Q8" s="6"/>
      <c r="R8" s="6"/>
      <c r="S8" s="6"/>
      <c r="T8" s="5"/>
      <c r="U8" s="5"/>
      <c r="V8" s="5"/>
    </row>
    <row r="9" spans="1:22" ht="13.8" x14ac:dyDescent="0.25">
      <c r="A9" s="115"/>
      <c r="B9" s="6"/>
      <c r="C9" s="4"/>
      <c r="D9" s="4"/>
      <c r="E9" s="4"/>
      <c r="F9" s="6"/>
      <c r="G9" s="4"/>
      <c r="H9" s="4"/>
      <c r="I9" s="4"/>
      <c r="J9" s="4"/>
      <c r="K9" s="4"/>
      <c r="L9" s="4"/>
      <c r="M9" s="3"/>
    </row>
    <row r="10" spans="1:22" ht="13.8" x14ac:dyDescent="0.25">
      <c r="A10" s="115">
        <v>45458</v>
      </c>
      <c r="B10" s="6"/>
      <c r="C10" s="4">
        <f>'Series Detail'!I13</f>
        <v>735000</v>
      </c>
      <c r="D10" s="4"/>
      <c r="E10" s="4">
        <f>'Series Detail'!J13</f>
        <v>3066258.125</v>
      </c>
      <c r="F10" s="6"/>
      <c r="G10" s="4">
        <f>'Series Detail'!K13</f>
        <v>0</v>
      </c>
      <c r="H10" s="4"/>
      <c r="I10" s="100">
        <f>'Series Detail'!L13</f>
        <v>-1207508.125</v>
      </c>
      <c r="J10" s="4"/>
      <c r="K10" s="4">
        <f t="shared" ref="K10" si="0">SUM(C10:J10)</f>
        <v>2593750</v>
      </c>
      <c r="L10" s="4"/>
      <c r="M10" s="4">
        <f>+K9+K10</f>
        <v>2593750</v>
      </c>
    </row>
    <row r="11" spans="1:22" ht="13.8" x14ac:dyDescent="0.25">
      <c r="A11" s="115"/>
      <c r="B11" s="6"/>
      <c r="C11" s="4"/>
      <c r="D11" s="4"/>
      <c r="E11" s="4"/>
      <c r="F11" s="6"/>
      <c r="G11" s="4"/>
      <c r="H11" s="4"/>
      <c r="I11" s="4"/>
      <c r="J11" s="4"/>
      <c r="K11" s="4"/>
      <c r="L11" s="4"/>
      <c r="M11" s="3"/>
    </row>
    <row r="12" spans="1:22" ht="13.8" x14ac:dyDescent="0.25">
      <c r="A12" s="115">
        <f>EDATE(A10,12)</f>
        <v>45823</v>
      </c>
      <c r="B12" s="6"/>
      <c r="C12" s="4">
        <f>'Series Detail'!I15</f>
        <v>850000</v>
      </c>
      <c r="D12" s="4"/>
      <c r="E12" s="4">
        <f>'Series Detail'!J15</f>
        <v>4626535</v>
      </c>
      <c r="F12" s="6"/>
      <c r="G12" s="4">
        <f>'Series Detail'!K15</f>
        <v>0</v>
      </c>
      <c r="H12" s="4"/>
      <c r="I12" s="100">
        <f>'Series Detail'!L15</f>
        <v>-1970964.88</v>
      </c>
      <c r="J12" s="4"/>
      <c r="K12" s="4">
        <f t="shared" ref="K12:K50" si="1">SUM(C12:J12)</f>
        <v>3505570.12</v>
      </c>
      <c r="L12" s="4"/>
      <c r="M12" s="4">
        <f t="shared" ref="M12" si="2">+K11+K12</f>
        <v>3505570.12</v>
      </c>
    </row>
    <row r="13" spans="1:22" ht="13.8" x14ac:dyDescent="0.25">
      <c r="A13" s="115"/>
      <c r="B13" s="6"/>
      <c r="C13" s="4"/>
      <c r="D13" s="4"/>
      <c r="E13" s="4"/>
      <c r="F13" s="6"/>
      <c r="G13" s="4"/>
      <c r="H13" s="4"/>
      <c r="I13" s="4"/>
      <c r="J13" s="4"/>
      <c r="K13" s="4"/>
      <c r="L13" s="4"/>
      <c r="M13" s="3"/>
    </row>
    <row r="14" spans="1:22" ht="13.8" x14ac:dyDescent="0.25">
      <c r="A14" s="115">
        <f t="shared" ref="A14" si="3">EDATE(A12,12)</f>
        <v>46188</v>
      </c>
      <c r="B14" s="6"/>
      <c r="C14" s="4">
        <f>'Series Detail'!I17</f>
        <v>2050000</v>
      </c>
      <c r="D14" s="4"/>
      <c r="E14" s="4">
        <f>'Series Detail'!J17</f>
        <v>4584035</v>
      </c>
      <c r="F14" s="6"/>
      <c r="G14" s="4">
        <f>'Series Detail'!K17</f>
        <v>0</v>
      </c>
      <c r="H14" s="4"/>
      <c r="I14" s="4">
        <f>'Series Detail'!L17</f>
        <v>0</v>
      </c>
      <c r="J14" s="4"/>
      <c r="K14" s="4">
        <f t="shared" si="1"/>
        <v>6634035</v>
      </c>
      <c r="L14" s="4"/>
      <c r="M14" s="4">
        <f t="shared" ref="M14" si="4">+K13+K14</f>
        <v>6634035</v>
      </c>
    </row>
    <row r="15" spans="1:22" ht="13.8" x14ac:dyDescent="0.25">
      <c r="A15" s="115"/>
      <c r="B15" s="6"/>
      <c r="C15" s="4"/>
      <c r="D15" s="4"/>
      <c r="E15" s="4"/>
      <c r="F15" s="6"/>
      <c r="G15" s="4"/>
      <c r="H15" s="4"/>
      <c r="I15" s="4"/>
      <c r="J15" s="4"/>
      <c r="K15" s="4"/>
      <c r="L15" s="4"/>
      <c r="M15" s="3"/>
    </row>
    <row r="16" spans="1:22" ht="13.8" x14ac:dyDescent="0.25">
      <c r="A16" s="115">
        <f t="shared" ref="A16" si="5">EDATE(A14,12)</f>
        <v>46553</v>
      </c>
      <c r="B16" s="6"/>
      <c r="C16" s="4">
        <f>'Series Detail'!I19</f>
        <v>2290000</v>
      </c>
      <c r="D16" s="4"/>
      <c r="E16" s="4">
        <f>'Series Detail'!J19</f>
        <v>4457885</v>
      </c>
      <c r="F16" s="6"/>
      <c r="G16" s="4">
        <f>'Series Detail'!K19</f>
        <v>0</v>
      </c>
      <c r="H16" s="4"/>
      <c r="I16" s="4">
        <f>'Series Detail'!L19</f>
        <v>0</v>
      </c>
      <c r="J16" s="4"/>
      <c r="K16" s="4">
        <f t="shared" si="1"/>
        <v>6747885</v>
      </c>
      <c r="L16" s="4"/>
      <c r="M16" s="4">
        <f t="shared" ref="M16" si="6">+K15+K16</f>
        <v>6747885</v>
      </c>
    </row>
    <row r="17" spans="1:13" ht="13.8" x14ac:dyDescent="0.25">
      <c r="A17" s="115"/>
      <c r="B17" s="6"/>
      <c r="C17" s="4"/>
      <c r="D17" s="4"/>
      <c r="E17" s="4"/>
      <c r="F17" s="6"/>
      <c r="G17" s="4"/>
      <c r="H17" s="4"/>
      <c r="I17" s="4"/>
      <c r="J17" s="4"/>
      <c r="K17" s="4"/>
      <c r="L17" s="4"/>
      <c r="M17" s="3"/>
    </row>
    <row r="18" spans="1:13" ht="13.8" x14ac:dyDescent="0.25">
      <c r="A18" s="115">
        <f t="shared" ref="A18" si="7">EDATE(A16,12)</f>
        <v>46919</v>
      </c>
      <c r="B18" s="6"/>
      <c r="C18" s="4">
        <f>'Series Detail'!I21</f>
        <v>2555000</v>
      </c>
      <c r="D18" s="4"/>
      <c r="E18" s="4">
        <f>'Series Detail'!J21</f>
        <v>4317315</v>
      </c>
      <c r="F18" s="6"/>
      <c r="G18" s="4">
        <f>'Series Detail'!K21</f>
        <v>0</v>
      </c>
      <c r="H18" s="4"/>
      <c r="I18" s="4">
        <f>'Series Detail'!L21</f>
        <v>0</v>
      </c>
      <c r="J18" s="4"/>
      <c r="K18" s="4">
        <f t="shared" si="1"/>
        <v>6872315</v>
      </c>
      <c r="L18" s="4"/>
      <c r="M18" s="4">
        <f t="shared" ref="M18" si="8">+K17+K18</f>
        <v>6872315</v>
      </c>
    </row>
    <row r="19" spans="1:13" ht="13.8" x14ac:dyDescent="0.25">
      <c r="A19" s="115"/>
      <c r="B19" s="6"/>
      <c r="C19" s="4"/>
      <c r="D19" s="4"/>
      <c r="E19" s="4"/>
      <c r="F19" s="6"/>
      <c r="G19" s="4"/>
      <c r="H19" s="4"/>
      <c r="I19" s="4"/>
      <c r="J19" s="4"/>
      <c r="K19" s="4"/>
      <c r="L19" s="4"/>
      <c r="M19" s="3"/>
    </row>
    <row r="20" spans="1:13" ht="13.8" x14ac:dyDescent="0.25">
      <c r="A20" s="115">
        <f t="shared" ref="A20" si="9">EDATE(A18,12)</f>
        <v>47284</v>
      </c>
      <c r="B20" s="6"/>
      <c r="C20" s="4">
        <f>'Series Detail'!I23</f>
        <v>2840000</v>
      </c>
      <c r="D20" s="4"/>
      <c r="E20" s="4">
        <f>'Series Detail'!J23</f>
        <v>4160745</v>
      </c>
      <c r="F20" s="6"/>
      <c r="G20" s="4">
        <f>'Series Detail'!K23</f>
        <v>0</v>
      </c>
      <c r="H20" s="4"/>
      <c r="I20" s="4">
        <f>'Series Detail'!L23</f>
        <v>0</v>
      </c>
      <c r="J20" s="4"/>
      <c r="K20" s="4">
        <f t="shared" si="1"/>
        <v>7000745</v>
      </c>
      <c r="L20" s="4"/>
      <c r="M20" s="4">
        <f t="shared" ref="M20" si="10">+K19+K20</f>
        <v>7000745</v>
      </c>
    </row>
    <row r="21" spans="1:13" ht="13.8" x14ac:dyDescent="0.25">
      <c r="A21" s="115"/>
      <c r="B21" s="6"/>
      <c r="C21" s="4"/>
      <c r="D21" s="4"/>
      <c r="E21" s="4"/>
      <c r="F21" s="6"/>
      <c r="G21" s="4"/>
      <c r="H21" s="4"/>
      <c r="I21" s="4"/>
      <c r="J21" s="4"/>
      <c r="K21" s="4"/>
      <c r="L21" s="4"/>
      <c r="M21" s="3"/>
    </row>
    <row r="22" spans="1:13" ht="13.8" x14ac:dyDescent="0.25">
      <c r="A22" s="115">
        <f t="shared" ref="A22" si="11">EDATE(A20,12)</f>
        <v>47649</v>
      </c>
      <c r="B22" s="6"/>
      <c r="C22" s="4">
        <f>'Series Detail'!I25</f>
        <v>3145000</v>
      </c>
      <c r="D22" s="4"/>
      <c r="E22" s="4">
        <f>'Series Detail'!J25</f>
        <v>3986955</v>
      </c>
      <c r="F22" s="6"/>
      <c r="G22" s="4">
        <f>'Series Detail'!K25</f>
        <v>0</v>
      </c>
      <c r="H22" s="4"/>
      <c r="I22" s="4">
        <f>'Series Detail'!L25</f>
        <v>0</v>
      </c>
      <c r="J22" s="4"/>
      <c r="K22" s="4">
        <f t="shared" si="1"/>
        <v>7131955</v>
      </c>
      <c r="L22" s="4"/>
      <c r="M22" s="4">
        <f t="shared" ref="M22" si="12">+K21+K22</f>
        <v>7131955</v>
      </c>
    </row>
    <row r="23" spans="1:13" ht="13.8" x14ac:dyDescent="0.25">
      <c r="A23" s="115"/>
      <c r="B23" s="6"/>
      <c r="C23" s="4"/>
      <c r="D23" s="4"/>
      <c r="E23" s="4"/>
      <c r="F23" s="6"/>
      <c r="G23" s="4"/>
      <c r="H23" s="4"/>
      <c r="I23" s="4"/>
      <c r="J23" s="4"/>
      <c r="K23" s="4"/>
      <c r="L23" s="4"/>
      <c r="M23" s="3"/>
    </row>
    <row r="24" spans="1:13" ht="13.8" x14ac:dyDescent="0.25">
      <c r="A24" s="115">
        <f t="shared" ref="A24" si="13">EDATE(A22,12)</f>
        <v>48014</v>
      </c>
      <c r="B24" s="6"/>
      <c r="C24" s="4">
        <f>'Series Detail'!I27</f>
        <v>3480000</v>
      </c>
      <c r="D24" s="4"/>
      <c r="E24" s="4">
        <f>'Series Detail'!J27</f>
        <v>3790837.5</v>
      </c>
      <c r="F24" s="6"/>
      <c r="G24" s="4">
        <f>'Series Detail'!K27</f>
        <v>0</v>
      </c>
      <c r="H24" s="4"/>
      <c r="I24" s="4">
        <f>'Series Detail'!L27</f>
        <v>0</v>
      </c>
      <c r="J24" s="4"/>
      <c r="K24" s="4">
        <f t="shared" si="1"/>
        <v>7270837.5</v>
      </c>
      <c r="L24" s="4"/>
      <c r="M24" s="4">
        <f t="shared" ref="M24" si="14">+K23+K24</f>
        <v>7270837.5</v>
      </c>
    </row>
    <row r="25" spans="1:13" ht="13.8" x14ac:dyDescent="0.25">
      <c r="A25" s="115"/>
      <c r="B25" s="6"/>
      <c r="C25" s="4"/>
      <c r="D25" s="4"/>
      <c r="E25" s="4"/>
      <c r="F25" s="6"/>
      <c r="G25" s="4"/>
      <c r="H25" s="4"/>
      <c r="I25" s="4"/>
      <c r="J25" s="4"/>
      <c r="K25" s="4"/>
      <c r="L25" s="4"/>
      <c r="M25" s="3"/>
    </row>
    <row r="26" spans="1:13" ht="13.8" x14ac:dyDescent="0.25">
      <c r="A26" s="115">
        <f t="shared" ref="A26" si="15">EDATE(A24,12)</f>
        <v>48380</v>
      </c>
      <c r="B26" s="6"/>
      <c r="C26" s="4">
        <f>'Series Detail'!I29</f>
        <v>3835000</v>
      </c>
      <c r="D26" s="4"/>
      <c r="E26" s="4">
        <f>'Series Detail'!J29</f>
        <v>3574012.5</v>
      </c>
      <c r="F26" s="6"/>
      <c r="G26" s="4">
        <f>'Series Detail'!K29</f>
        <v>0</v>
      </c>
      <c r="H26" s="4"/>
      <c r="I26" s="4">
        <f>'Series Detail'!L29</f>
        <v>0</v>
      </c>
      <c r="J26" s="4"/>
      <c r="K26" s="4">
        <f t="shared" si="1"/>
        <v>7409012.5</v>
      </c>
      <c r="L26" s="4"/>
      <c r="M26" s="4">
        <f t="shared" ref="M26" si="16">+K25+K26</f>
        <v>7409012.5</v>
      </c>
    </row>
    <row r="27" spans="1:13" ht="13.8" x14ac:dyDescent="0.25">
      <c r="A27" s="115"/>
      <c r="B27" s="6"/>
      <c r="C27" s="4"/>
      <c r="D27" s="4"/>
      <c r="E27" s="4"/>
      <c r="F27" s="6"/>
      <c r="G27" s="4"/>
      <c r="H27" s="4"/>
      <c r="I27" s="4"/>
      <c r="J27" s="4"/>
      <c r="K27" s="4"/>
      <c r="L27" s="4"/>
      <c r="M27" s="3"/>
    </row>
    <row r="28" spans="1:13" ht="13.8" x14ac:dyDescent="0.25">
      <c r="A28" s="115">
        <f t="shared" ref="A28" si="17">EDATE(A26,12)</f>
        <v>48745</v>
      </c>
      <c r="B28" s="6"/>
      <c r="C28" s="4">
        <f>'Series Detail'!I31</f>
        <v>4220000</v>
      </c>
      <c r="D28" s="4"/>
      <c r="E28" s="4">
        <f>'Series Detail'!J31</f>
        <v>3335235</v>
      </c>
      <c r="F28" s="6"/>
      <c r="G28" s="4">
        <f>'Series Detail'!K31</f>
        <v>0</v>
      </c>
      <c r="H28" s="4"/>
      <c r="I28" s="4">
        <f>'Series Detail'!L31</f>
        <v>0</v>
      </c>
      <c r="J28" s="4"/>
      <c r="K28" s="4">
        <f t="shared" si="1"/>
        <v>7555235</v>
      </c>
      <c r="L28" s="4"/>
      <c r="M28" s="4">
        <f t="shared" ref="M28" si="18">+K27+K28</f>
        <v>7555235</v>
      </c>
    </row>
    <row r="29" spans="1:13" ht="13.8" x14ac:dyDescent="0.25">
      <c r="A29" s="115"/>
      <c r="B29" s="6"/>
      <c r="C29" s="4"/>
      <c r="D29" s="4"/>
      <c r="E29" s="4"/>
      <c r="F29" s="6"/>
      <c r="G29" s="4"/>
      <c r="H29" s="4"/>
      <c r="I29" s="4"/>
      <c r="J29" s="4"/>
      <c r="K29" s="4"/>
      <c r="L29" s="4"/>
      <c r="M29" s="3"/>
    </row>
    <row r="30" spans="1:13" ht="13.8" x14ac:dyDescent="0.25">
      <c r="A30" s="115">
        <f t="shared" ref="A30" si="19">EDATE(A28,12)</f>
        <v>49110</v>
      </c>
      <c r="B30" s="6"/>
      <c r="C30" s="4">
        <f>'Series Detail'!I33</f>
        <v>4640000</v>
      </c>
      <c r="D30" s="4"/>
      <c r="E30" s="4">
        <f>'Series Detail'!J33</f>
        <v>3072637.5</v>
      </c>
      <c r="F30" s="6"/>
      <c r="G30" s="4">
        <f>'Series Detail'!K33</f>
        <v>0</v>
      </c>
      <c r="H30" s="4"/>
      <c r="I30" s="4">
        <f>'Series Detail'!L33</f>
        <v>0</v>
      </c>
      <c r="J30" s="4"/>
      <c r="K30" s="4">
        <f t="shared" si="1"/>
        <v>7712637.5</v>
      </c>
      <c r="L30" s="4"/>
      <c r="M30" s="4">
        <f t="shared" ref="M30" si="20">+K29+K30</f>
        <v>7712637.5</v>
      </c>
    </row>
    <row r="31" spans="1:13" ht="13.8" x14ac:dyDescent="0.25">
      <c r="A31" s="115"/>
      <c r="B31" s="6"/>
      <c r="C31" s="4"/>
      <c r="D31" s="4"/>
      <c r="E31" s="4"/>
      <c r="F31" s="6"/>
      <c r="G31" s="4"/>
      <c r="H31" s="4"/>
      <c r="I31" s="4"/>
      <c r="J31" s="4"/>
      <c r="K31" s="4"/>
      <c r="L31" s="4"/>
      <c r="M31" s="3"/>
    </row>
    <row r="32" spans="1:13" ht="13.8" x14ac:dyDescent="0.25">
      <c r="A32" s="115">
        <f t="shared" ref="A32" si="21">EDATE(A30,12)</f>
        <v>49475</v>
      </c>
      <c r="B32" s="6"/>
      <c r="C32" s="4">
        <f>'Series Detail'!I35</f>
        <v>5090000</v>
      </c>
      <c r="D32" s="4"/>
      <c r="E32" s="4">
        <f>'Series Detail'!J35</f>
        <v>2777062.5</v>
      </c>
      <c r="F32" s="6"/>
      <c r="G32" s="4">
        <f>'Series Detail'!K35</f>
        <v>0</v>
      </c>
      <c r="H32" s="4"/>
      <c r="I32" s="4">
        <f>'Series Detail'!L35</f>
        <v>0</v>
      </c>
      <c r="J32" s="4"/>
      <c r="K32" s="4">
        <f t="shared" si="1"/>
        <v>7867062.5</v>
      </c>
      <c r="L32" s="4"/>
      <c r="M32" s="4">
        <f t="shared" ref="M32" si="22">+K31+K32</f>
        <v>7867062.5</v>
      </c>
    </row>
    <row r="33" spans="1:13" ht="13.8" x14ac:dyDescent="0.25">
      <c r="A33" s="115"/>
      <c r="B33" s="6"/>
      <c r="C33" s="4"/>
      <c r="D33" s="4"/>
      <c r="E33" s="4"/>
      <c r="F33" s="6"/>
      <c r="G33" s="4"/>
      <c r="H33" s="4"/>
      <c r="I33" s="4"/>
      <c r="J33" s="4"/>
      <c r="K33" s="4"/>
      <c r="L33" s="4"/>
      <c r="M33" s="3"/>
    </row>
    <row r="34" spans="1:13" ht="13.8" x14ac:dyDescent="0.25">
      <c r="A34" s="115">
        <f t="shared" ref="A34" si="23">EDATE(A32,12)</f>
        <v>49841</v>
      </c>
      <c r="B34" s="6"/>
      <c r="C34" s="4">
        <f>'Series Detail'!I37</f>
        <v>5570000</v>
      </c>
      <c r="D34" s="4"/>
      <c r="E34" s="4">
        <f>'Series Detail'!J37</f>
        <v>2452800</v>
      </c>
      <c r="F34" s="6"/>
      <c r="G34" s="4">
        <f>'Series Detail'!K37</f>
        <v>0</v>
      </c>
      <c r="H34" s="4"/>
      <c r="I34" s="4">
        <f>'Series Detail'!L37</f>
        <v>0</v>
      </c>
      <c r="J34" s="4"/>
      <c r="K34" s="4">
        <f t="shared" si="1"/>
        <v>8022800</v>
      </c>
      <c r="L34" s="4"/>
      <c r="M34" s="4">
        <f t="shared" ref="M34" si="24">+K33+K34</f>
        <v>8022800</v>
      </c>
    </row>
    <row r="35" spans="1:13" ht="13.8" x14ac:dyDescent="0.25">
      <c r="A35" s="115"/>
      <c r="B35" s="6"/>
      <c r="C35" s="4"/>
      <c r="D35" s="4"/>
      <c r="E35" s="4"/>
      <c r="F35" s="6"/>
      <c r="G35" s="4"/>
      <c r="H35" s="4"/>
      <c r="I35" s="4"/>
      <c r="J35" s="4"/>
      <c r="K35" s="4"/>
      <c r="L35" s="4"/>
      <c r="M35" s="3"/>
    </row>
    <row r="36" spans="1:13" ht="13.8" x14ac:dyDescent="0.25">
      <c r="A36" s="115">
        <f t="shared" ref="A36" si="25">EDATE(A34,12)</f>
        <v>50206</v>
      </c>
      <c r="B36" s="6"/>
      <c r="C36" s="4">
        <f>'Series Detail'!I39</f>
        <v>6095000</v>
      </c>
      <c r="D36" s="4"/>
      <c r="E36" s="4">
        <f>'Series Detail'!J39</f>
        <v>2097937.5</v>
      </c>
      <c r="F36" s="6"/>
      <c r="G36" s="4">
        <f>'Series Detail'!K39</f>
        <v>0</v>
      </c>
      <c r="H36" s="4"/>
      <c r="I36" s="4">
        <f>'Series Detail'!L39</f>
        <v>0</v>
      </c>
      <c r="J36" s="4"/>
      <c r="K36" s="4">
        <f t="shared" si="1"/>
        <v>8192937.5</v>
      </c>
      <c r="L36" s="4"/>
      <c r="M36" s="4">
        <f t="shared" ref="M36" si="26">+K35+K36</f>
        <v>8192937.5</v>
      </c>
    </row>
    <row r="37" spans="1:13" ht="13.8" x14ac:dyDescent="0.25">
      <c r="A37" s="115"/>
      <c r="B37" s="6"/>
      <c r="C37" s="4"/>
      <c r="D37" s="4"/>
      <c r="E37" s="4"/>
      <c r="F37" s="6"/>
      <c r="G37" s="4"/>
      <c r="H37" s="4"/>
      <c r="I37" s="4"/>
      <c r="J37" s="4"/>
      <c r="K37" s="4"/>
      <c r="L37" s="4"/>
      <c r="M37" s="3"/>
    </row>
    <row r="38" spans="1:13" ht="13.8" x14ac:dyDescent="0.25">
      <c r="A38" s="115">
        <f t="shared" ref="A38" si="27">EDATE(A36,12)</f>
        <v>50571</v>
      </c>
      <c r="B38" s="6"/>
      <c r="C38" s="4">
        <f>'Series Detail'!I41</f>
        <v>6650000</v>
      </c>
      <c r="D38" s="4"/>
      <c r="E38" s="4">
        <f>'Series Detail'!J41</f>
        <v>1709550</v>
      </c>
      <c r="F38" s="6"/>
      <c r="G38" s="4">
        <f>'Series Detail'!K41</f>
        <v>0</v>
      </c>
      <c r="H38" s="4"/>
      <c r="I38" s="4">
        <f>'Series Detail'!L41</f>
        <v>0</v>
      </c>
      <c r="J38" s="4"/>
      <c r="K38" s="4">
        <f t="shared" si="1"/>
        <v>8359550</v>
      </c>
      <c r="L38" s="4"/>
      <c r="M38" s="4">
        <f t="shared" ref="M38" si="28">+K37+K38</f>
        <v>8359550</v>
      </c>
    </row>
    <row r="39" spans="1:13" ht="13.8" x14ac:dyDescent="0.25">
      <c r="A39" s="115"/>
      <c r="B39" s="6"/>
      <c r="C39" s="4"/>
      <c r="D39" s="4"/>
      <c r="E39" s="4"/>
      <c r="F39" s="6"/>
      <c r="G39" s="4"/>
      <c r="H39" s="4"/>
      <c r="I39" s="4"/>
      <c r="J39" s="4"/>
      <c r="K39" s="4"/>
      <c r="L39" s="4"/>
      <c r="M39" s="3"/>
    </row>
    <row r="40" spans="1:13" ht="13.8" x14ac:dyDescent="0.25">
      <c r="A40" s="115">
        <f t="shared" ref="A40" si="29">EDATE(A38,12)</f>
        <v>50936</v>
      </c>
      <c r="B40" s="6"/>
      <c r="C40" s="4">
        <f>'Series Detail'!I43</f>
        <v>5805000</v>
      </c>
      <c r="D40" s="4"/>
      <c r="E40" s="4">
        <f>'Series Detail'!J43</f>
        <v>1285725</v>
      </c>
      <c r="F40" s="6"/>
      <c r="G40" s="4">
        <f>'Series Detail'!K43</f>
        <v>0</v>
      </c>
      <c r="H40" s="4"/>
      <c r="I40" s="4">
        <f>'Series Detail'!L43</f>
        <v>0</v>
      </c>
      <c r="J40" s="4"/>
      <c r="K40" s="4">
        <f t="shared" si="1"/>
        <v>7090725</v>
      </c>
      <c r="L40" s="4"/>
      <c r="M40" s="4">
        <f t="shared" ref="M40" si="30">+K39+K40</f>
        <v>7090725</v>
      </c>
    </row>
    <row r="41" spans="1:13" ht="13.8" x14ac:dyDescent="0.25">
      <c r="A41" s="115"/>
      <c r="B41" s="6"/>
      <c r="C41" s="4"/>
      <c r="D41" s="4"/>
      <c r="E41" s="4"/>
      <c r="F41" s="6"/>
      <c r="G41" s="4"/>
      <c r="H41" s="4"/>
      <c r="I41" s="4"/>
      <c r="J41" s="4"/>
      <c r="K41" s="4"/>
      <c r="L41" s="4"/>
      <c r="M41" s="3"/>
    </row>
    <row r="42" spans="1:13" ht="13.8" x14ac:dyDescent="0.25">
      <c r="A42" s="115">
        <f t="shared" ref="A42" si="31">EDATE(A40,12)</f>
        <v>51302</v>
      </c>
      <c r="B42" s="6"/>
      <c r="C42" s="4">
        <f>'Series Detail'!I45</f>
        <v>6325000</v>
      </c>
      <c r="D42" s="4"/>
      <c r="E42" s="4">
        <f>'Series Detail'!J45</f>
        <v>980962.5</v>
      </c>
      <c r="F42" s="6"/>
      <c r="G42" s="4">
        <f>'Series Detail'!K45</f>
        <v>0</v>
      </c>
      <c r="H42" s="4"/>
      <c r="I42" s="4">
        <f>'Series Detail'!L45</f>
        <v>0</v>
      </c>
      <c r="J42" s="4"/>
      <c r="K42" s="4">
        <f t="shared" si="1"/>
        <v>7305962.5</v>
      </c>
      <c r="L42" s="4"/>
      <c r="M42" s="4">
        <f t="shared" ref="M42" si="32">+K41+K42</f>
        <v>7305962.5</v>
      </c>
    </row>
    <row r="43" spans="1:13" ht="13.8" x14ac:dyDescent="0.25">
      <c r="A43" s="115"/>
      <c r="B43" s="6"/>
      <c r="C43" s="4"/>
      <c r="D43" s="4"/>
      <c r="E43" s="4"/>
      <c r="F43" s="6"/>
      <c r="G43" s="4"/>
      <c r="H43" s="4"/>
      <c r="I43" s="4"/>
      <c r="J43" s="4"/>
      <c r="K43" s="4"/>
      <c r="L43" s="4"/>
      <c r="M43" s="3"/>
    </row>
    <row r="44" spans="1:13" ht="13.8" x14ac:dyDescent="0.25">
      <c r="A44" s="115">
        <f t="shared" ref="A44" si="33">EDATE(A42,12)</f>
        <v>51667</v>
      </c>
      <c r="B44" s="6"/>
      <c r="C44" s="4">
        <f>'Series Detail'!I47</f>
        <v>3075000</v>
      </c>
      <c r="D44" s="4"/>
      <c r="E44" s="4">
        <f>'Series Detail'!J47</f>
        <v>648900</v>
      </c>
      <c r="F44" s="6"/>
      <c r="G44" s="4">
        <f>'Series Detail'!K47</f>
        <v>0</v>
      </c>
      <c r="H44" s="4"/>
      <c r="I44" s="4">
        <f>'Series Detail'!L47</f>
        <v>0</v>
      </c>
      <c r="J44" s="4"/>
      <c r="K44" s="4">
        <f t="shared" si="1"/>
        <v>3723900</v>
      </c>
      <c r="L44" s="4"/>
      <c r="M44" s="4">
        <f t="shared" ref="M44" si="34">+K43+K44</f>
        <v>3723900</v>
      </c>
    </row>
    <row r="45" spans="1:13" ht="13.8" x14ac:dyDescent="0.25">
      <c r="A45" s="115"/>
      <c r="B45" s="6"/>
      <c r="C45" s="4"/>
      <c r="D45" s="4"/>
      <c r="E45" s="4"/>
      <c r="F45" s="6"/>
      <c r="G45" s="4"/>
      <c r="H45" s="4"/>
      <c r="I45" s="4"/>
      <c r="J45" s="4"/>
      <c r="K45" s="4"/>
      <c r="L45" s="4"/>
      <c r="M45" s="3"/>
    </row>
    <row r="46" spans="1:13" ht="13.8" x14ac:dyDescent="0.25">
      <c r="A46" s="115">
        <f t="shared" ref="A46" si="35">EDATE(A44,12)</f>
        <v>52032</v>
      </c>
      <c r="B46" s="6"/>
      <c r="C46" s="4">
        <f>'Series Detail'!I49</f>
        <v>2845000</v>
      </c>
      <c r="D46" s="4"/>
      <c r="E46" s="4">
        <f>'Series Detail'!J49</f>
        <v>487462.5</v>
      </c>
      <c r="F46" s="6"/>
      <c r="G46" s="4">
        <f>'Series Detail'!K49</f>
        <v>0</v>
      </c>
      <c r="H46" s="4"/>
      <c r="I46" s="4">
        <f>'Series Detail'!L49</f>
        <v>0</v>
      </c>
      <c r="J46" s="4"/>
      <c r="K46" s="4">
        <f t="shared" si="1"/>
        <v>3332462.5</v>
      </c>
      <c r="L46" s="4"/>
      <c r="M46" s="4">
        <f t="shared" ref="M46" si="36">+K45+K46</f>
        <v>3332462.5</v>
      </c>
    </row>
    <row r="47" spans="1:13" ht="13.8" x14ac:dyDescent="0.25">
      <c r="A47" s="115"/>
      <c r="B47" s="6"/>
      <c r="C47" s="4"/>
      <c r="D47" s="4"/>
      <c r="E47" s="4"/>
      <c r="F47" s="6"/>
      <c r="G47" s="4"/>
      <c r="H47" s="4"/>
      <c r="I47" s="4"/>
      <c r="J47" s="4"/>
      <c r="K47" s="4"/>
      <c r="L47" s="3"/>
      <c r="M47" s="3"/>
    </row>
    <row r="48" spans="1:13" ht="13.8" x14ac:dyDescent="0.25">
      <c r="A48" s="115">
        <f t="shared" ref="A48" si="37">EDATE(A46,12)</f>
        <v>52397</v>
      </c>
      <c r="B48" s="6"/>
      <c r="C48" s="4">
        <f>'Series Detail'!I51</f>
        <v>3095000</v>
      </c>
      <c r="D48" s="4"/>
      <c r="E48" s="4">
        <f>'Series Detail'!J51</f>
        <v>338100</v>
      </c>
      <c r="F48" s="6"/>
      <c r="G48" s="4">
        <f>'Series Detail'!K51</f>
        <v>0</v>
      </c>
      <c r="H48" s="4"/>
      <c r="I48" s="4">
        <f>'Series Detail'!L51</f>
        <v>0</v>
      </c>
      <c r="J48" s="4"/>
      <c r="K48" s="4">
        <f t="shared" si="1"/>
        <v>3433100</v>
      </c>
      <c r="L48" s="4"/>
      <c r="M48" s="4">
        <f t="shared" ref="M48" si="38">+K47+K48</f>
        <v>3433100</v>
      </c>
    </row>
    <row r="49" spans="1:13" ht="13.8" x14ac:dyDescent="0.25">
      <c r="A49" s="115"/>
      <c r="C49" s="4"/>
      <c r="D49" s="4"/>
      <c r="E49" s="4"/>
      <c r="F49" s="6"/>
      <c r="G49" s="4"/>
      <c r="H49" s="4"/>
      <c r="I49" s="4"/>
      <c r="J49" s="4"/>
      <c r="K49" s="4"/>
      <c r="M49" s="3"/>
    </row>
    <row r="50" spans="1:13" ht="13.8" x14ac:dyDescent="0.25">
      <c r="A50" s="115">
        <f t="shared" ref="A50" si="39">EDATE(A48,12)</f>
        <v>52763</v>
      </c>
      <c r="C50" s="4">
        <f>'Series Detail'!I53</f>
        <v>3345000</v>
      </c>
      <c r="D50" s="4"/>
      <c r="E50" s="4">
        <f>'Series Detail'!J53</f>
        <v>175612.5</v>
      </c>
      <c r="F50" s="6"/>
      <c r="G50" s="4">
        <f>'Series Detail'!K53</f>
        <v>0</v>
      </c>
      <c r="H50" s="4"/>
      <c r="I50" s="4">
        <f>'Series Detail'!L53</f>
        <v>0</v>
      </c>
      <c r="J50" s="4"/>
      <c r="K50" s="4">
        <f t="shared" si="1"/>
        <v>3520612.5</v>
      </c>
      <c r="M50" s="4">
        <f t="shared" ref="M50" si="40">+K49+K50</f>
        <v>3520612.5</v>
      </c>
    </row>
    <row r="51" spans="1:13" ht="6" customHeight="1" x14ac:dyDescent="0.25">
      <c r="A51" s="116"/>
      <c r="M51" s="4"/>
    </row>
    <row r="52" spans="1:13" x14ac:dyDescent="0.25">
      <c r="A52" s="117" t="s">
        <v>6</v>
      </c>
      <c r="B52" s="117"/>
      <c r="C52" s="68">
        <f>SUM(C9:C51)</f>
        <v>78535000</v>
      </c>
      <c r="D52" s="68"/>
      <c r="E52" s="68">
        <f>SUM(E9:E51)</f>
        <v>55926563.125</v>
      </c>
      <c r="F52" s="68"/>
      <c r="G52" s="68">
        <f>SUM(G9:G51)</f>
        <v>0</v>
      </c>
      <c r="H52" s="68"/>
      <c r="I52" s="103">
        <f>SUM(I9:I51)</f>
        <v>-3178473.0049999999</v>
      </c>
      <c r="J52" s="68"/>
      <c r="K52" s="68">
        <f>SUM(K9:K51)</f>
        <v>131283090.12</v>
      </c>
      <c r="L52" s="68"/>
      <c r="M52" s="68">
        <f>SUM(M9:M51)</f>
        <v>131283090.12</v>
      </c>
    </row>
    <row r="53" spans="1:13" ht="13.8" x14ac:dyDescent="0.25">
      <c r="A53" s="6"/>
    </row>
    <row r="54" spans="1:13" ht="13.8" x14ac:dyDescent="0.25">
      <c r="A54" s="6"/>
    </row>
  </sheetData>
  <phoneticPr fontId="0" type="noConversion"/>
  <printOptions horizontalCentered="1"/>
  <pageMargins left="0.5" right="0.5" top="0.75" bottom="0.75" header="0.3" footer="0.3"/>
  <pageSetup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BB61"/>
  <sheetViews>
    <sheetView tabSelected="1" topLeftCell="F1" zoomScale="80" zoomScaleNormal="80" workbookViewId="0">
      <selection activeCell="J66" sqref="J66"/>
    </sheetView>
  </sheetViews>
  <sheetFormatPr defaultColWidth="10.7109375" defaultRowHeight="13.2" x14ac:dyDescent="0.25"/>
  <cols>
    <col min="1" max="5" width="2.140625" style="31" hidden="1" customWidth="1"/>
    <col min="6" max="6" width="14.5703125" style="31" customWidth="1"/>
    <col min="7" max="7" width="2.85546875" style="31" customWidth="1"/>
    <col min="8" max="8" width="14.5703125" style="31" customWidth="1"/>
    <col min="9" max="9" width="18.7109375" style="31" customWidth="1"/>
    <col min="10" max="10" width="17.7109375" style="31" bestFit="1" customWidth="1"/>
    <col min="11" max="11" width="17.140625" style="31" bestFit="1" customWidth="1"/>
    <col min="12" max="13" width="18.5703125" style="31" bestFit="1" customWidth="1"/>
    <col min="14" max="14" width="4.85546875" style="31" customWidth="1"/>
    <col min="15" max="15" width="14.5703125" style="31" customWidth="1"/>
    <col min="16" max="16" width="2.85546875" style="31" customWidth="1"/>
    <col min="17" max="17" width="14.5703125" style="31" customWidth="1"/>
    <col min="18" max="18" width="18.7109375" style="31" customWidth="1"/>
    <col min="19" max="19" width="17.7109375" style="31" bestFit="1" customWidth="1"/>
    <col min="20" max="20" width="17.140625" style="31" bestFit="1" customWidth="1"/>
    <col min="21" max="22" width="18.5703125" style="31" bestFit="1" customWidth="1"/>
    <col min="23" max="23" width="4.85546875" style="31" customWidth="1"/>
    <col min="24" max="24" width="14.5703125" style="31" customWidth="1"/>
    <col min="25" max="25" width="18.7109375" style="31" customWidth="1"/>
    <col min="26" max="26" width="10.7109375" style="31" bestFit="1" customWidth="1"/>
    <col min="27" max="28" width="17.140625" style="31" bestFit="1" customWidth="1"/>
    <col min="29" max="29" width="16" style="31" bestFit="1" customWidth="1"/>
    <col min="30" max="30" width="17.140625" style="31" bestFit="1" customWidth="1"/>
    <col min="31" max="31" width="4.85546875" style="31" customWidth="1"/>
    <col min="32" max="32" width="14.5703125" style="31" customWidth="1"/>
    <col min="33" max="33" width="18.7109375" style="31" customWidth="1"/>
    <col min="34" max="34" width="2.85546875" style="31" customWidth="1"/>
    <col min="35" max="35" width="17.7109375" style="31" bestFit="1" customWidth="1"/>
    <col min="36" max="36" width="17.140625" style="31" bestFit="1" customWidth="1"/>
    <col min="37" max="37" width="18.5703125" style="31" bestFit="1" customWidth="1"/>
    <col min="38" max="38" width="17.7109375" style="31" bestFit="1" customWidth="1"/>
    <col min="39" max="39" width="5.5703125" style="31" customWidth="1"/>
    <col min="40" max="40" width="14.5703125" style="31" customWidth="1"/>
    <col min="41" max="41" width="18.7109375" style="31" customWidth="1"/>
    <col min="42" max="42" width="12.28515625" style="31" bestFit="1" customWidth="1"/>
    <col min="43" max="44" width="17.140625" style="31" bestFit="1" customWidth="1"/>
    <col min="45" max="45" width="16.42578125" style="31" bestFit="1" customWidth="1"/>
    <col min="46" max="46" width="17.7109375" style="31" bestFit="1" customWidth="1"/>
    <col min="47" max="47" width="5.28515625" style="31" customWidth="1"/>
    <col min="48" max="48" width="14.5703125" style="31" customWidth="1"/>
    <col min="49" max="49" width="18.7109375" style="31" customWidth="1"/>
    <col min="50" max="50" width="12.28515625" style="31" bestFit="1" customWidth="1"/>
    <col min="51" max="51" width="18.85546875" style="31" bestFit="1" customWidth="1"/>
    <col min="52" max="52" width="17.140625" style="31" bestFit="1" customWidth="1"/>
    <col min="53" max="53" width="18.5703125" style="31" bestFit="1" customWidth="1"/>
    <col min="54" max="54" width="18.85546875" style="31" bestFit="1" customWidth="1"/>
    <col min="55" max="55" width="5.28515625" style="31" customWidth="1"/>
    <col min="56" max="16384" width="10.7109375" style="31"/>
  </cols>
  <sheetData>
    <row r="1" spans="1:54" s="59" customFormat="1" ht="17.399999999999999" x14ac:dyDescent="0.3">
      <c r="F1" s="74" t="s">
        <v>71</v>
      </c>
      <c r="O1" s="74" t="s">
        <v>71</v>
      </c>
      <c r="X1" s="74" t="s">
        <v>71</v>
      </c>
      <c r="AF1" s="74" t="s">
        <v>71</v>
      </c>
      <c r="AM1" s="44"/>
      <c r="AN1" s="74" t="s">
        <v>71</v>
      </c>
      <c r="AU1" s="31"/>
      <c r="AV1" s="74" t="s">
        <v>71</v>
      </c>
    </row>
    <row r="2" spans="1:54" s="59" customFormat="1" ht="18" x14ac:dyDescent="0.35">
      <c r="A2" s="75"/>
      <c r="B2" s="75"/>
      <c r="C2" s="60"/>
      <c r="D2" s="75"/>
      <c r="E2" s="75"/>
      <c r="F2" s="73" t="s">
        <v>97</v>
      </c>
      <c r="G2" s="75"/>
      <c r="H2" s="75"/>
      <c r="I2" s="75"/>
      <c r="J2" s="75"/>
      <c r="K2" s="75"/>
      <c r="L2" s="75"/>
      <c r="M2" s="75"/>
      <c r="N2" s="75"/>
      <c r="O2" s="73" t="s">
        <v>97</v>
      </c>
      <c r="P2" s="75"/>
      <c r="Q2" s="75"/>
      <c r="R2" s="75"/>
      <c r="S2" s="75"/>
      <c r="T2" s="75"/>
      <c r="U2" s="75"/>
      <c r="V2" s="75"/>
      <c r="W2" s="75"/>
      <c r="X2" s="73" t="s">
        <v>97</v>
      </c>
      <c r="AE2" s="75"/>
      <c r="AF2" s="73" t="s">
        <v>97</v>
      </c>
      <c r="AM2" s="44"/>
      <c r="AN2" s="73" t="s">
        <v>97</v>
      </c>
      <c r="AU2" s="28"/>
      <c r="AV2" s="73" t="s">
        <v>97</v>
      </c>
    </row>
    <row r="3" spans="1:54" ht="15.6" x14ac:dyDescent="0.3">
      <c r="C3" s="32"/>
      <c r="AM3" s="47"/>
      <c r="AU3" s="27"/>
    </row>
    <row r="4" spans="1:54" ht="13.8" x14ac:dyDescent="0.25">
      <c r="AG4" s="6"/>
      <c r="AH4" s="114" t="s">
        <v>54</v>
      </c>
      <c r="AI4" s="34">
        <v>45301</v>
      </c>
      <c r="AM4" s="9"/>
      <c r="AN4" s="6"/>
      <c r="AO4" s="114" t="s">
        <v>54</v>
      </c>
      <c r="AP4" s="34">
        <v>45301</v>
      </c>
      <c r="AU4" s="3"/>
      <c r="AV4" s="6"/>
      <c r="AW4" s="114" t="s">
        <v>54</v>
      </c>
      <c r="AX4" s="34">
        <v>45301</v>
      </c>
    </row>
    <row r="5" spans="1:54" x14ac:dyDescent="0.25">
      <c r="B5" s="57"/>
      <c r="F5" s="57"/>
      <c r="G5" s="57"/>
      <c r="H5" s="55" t="s">
        <v>10</v>
      </c>
      <c r="I5" s="56"/>
      <c r="J5" s="56"/>
      <c r="K5" s="56"/>
      <c r="L5" s="56"/>
      <c r="M5" s="56"/>
      <c r="O5" s="57"/>
      <c r="P5" s="57"/>
      <c r="Q5" s="55" t="s">
        <v>10</v>
      </c>
      <c r="R5" s="56"/>
      <c r="S5" s="56"/>
      <c r="T5" s="56"/>
      <c r="U5" s="56"/>
      <c r="V5" s="56"/>
      <c r="X5" s="55" t="s">
        <v>10</v>
      </c>
      <c r="Y5" s="56"/>
      <c r="Z5" s="56"/>
      <c r="AA5" s="56"/>
      <c r="AB5" s="56"/>
      <c r="AC5" s="56"/>
      <c r="AD5" s="56"/>
      <c r="AF5" s="55" t="s">
        <v>10</v>
      </c>
      <c r="AG5" s="56"/>
      <c r="AH5" s="56"/>
      <c r="AI5" s="56"/>
      <c r="AJ5" s="56"/>
      <c r="AK5" s="56"/>
      <c r="AL5" s="56"/>
      <c r="AM5" s="104"/>
      <c r="AN5" s="55" t="s">
        <v>10</v>
      </c>
      <c r="AO5" s="56"/>
      <c r="AP5" s="56"/>
      <c r="AQ5" s="56"/>
      <c r="AR5" s="56"/>
      <c r="AS5" s="56"/>
      <c r="AT5" s="56"/>
      <c r="AV5" s="55" t="s">
        <v>10</v>
      </c>
      <c r="AW5" s="56"/>
      <c r="AX5" s="56"/>
      <c r="AY5" s="56"/>
      <c r="AZ5" s="56"/>
      <c r="BA5" s="56"/>
      <c r="BB5" s="56"/>
    </row>
    <row r="6" spans="1:54" x14ac:dyDescent="0.25">
      <c r="B6" s="58"/>
      <c r="F6" s="59"/>
      <c r="G6" s="59"/>
      <c r="H6" s="59" t="s">
        <v>0</v>
      </c>
      <c r="I6" s="59"/>
      <c r="J6" s="59"/>
      <c r="K6" s="59"/>
      <c r="L6" s="59"/>
      <c r="M6" s="59"/>
      <c r="O6" s="59"/>
      <c r="P6" s="59"/>
      <c r="Q6" s="59" t="s">
        <v>0</v>
      </c>
      <c r="R6" s="59"/>
      <c r="S6" s="59"/>
      <c r="T6" s="59"/>
      <c r="U6" s="59"/>
      <c r="V6" s="59"/>
      <c r="X6" s="58" t="s">
        <v>69</v>
      </c>
      <c r="Y6" s="59"/>
      <c r="Z6" s="59"/>
      <c r="AA6" s="59"/>
      <c r="AB6" s="59"/>
      <c r="AC6" s="59"/>
      <c r="AD6" s="59"/>
      <c r="AF6" s="58" t="s">
        <v>69</v>
      </c>
      <c r="AG6" s="59"/>
      <c r="AH6" s="59"/>
      <c r="AI6" s="59"/>
      <c r="AJ6" s="59"/>
      <c r="AK6" s="59"/>
      <c r="AL6" s="59"/>
      <c r="AM6" s="104"/>
      <c r="AN6" s="58" t="s">
        <v>69</v>
      </c>
      <c r="AO6" s="59"/>
      <c r="AP6" s="59"/>
      <c r="AQ6" s="59"/>
      <c r="AR6" s="59"/>
      <c r="AS6" s="59"/>
      <c r="AT6" s="59"/>
      <c r="AV6" s="58" t="s">
        <v>69</v>
      </c>
      <c r="AW6" s="59"/>
      <c r="AX6" s="59"/>
      <c r="AY6" s="59"/>
      <c r="AZ6" s="59"/>
      <c r="BA6" s="59"/>
      <c r="BB6" s="59"/>
    </row>
    <row r="7" spans="1:54" ht="13.8" x14ac:dyDescent="0.25">
      <c r="F7" s="59"/>
      <c r="G7" s="59"/>
      <c r="H7" s="29" t="s">
        <v>101</v>
      </c>
      <c r="I7" s="59"/>
      <c r="J7" s="59"/>
      <c r="K7" s="59"/>
      <c r="L7" s="59"/>
      <c r="M7" s="59"/>
      <c r="O7" s="59"/>
      <c r="P7" s="59"/>
      <c r="Q7" s="29" t="s">
        <v>102</v>
      </c>
      <c r="R7" s="59"/>
      <c r="S7" s="59"/>
      <c r="T7" s="59"/>
      <c r="U7" s="59"/>
      <c r="V7" s="59"/>
      <c r="X7" s="58" t="s">
        <v>68</v>
      </c>
      <c r="Y7" s="59"/>
      <c r="Z7" s="59"/>
      <c r="AA7" s="59"/>
      <c r="AB7" s="59"/>
      <c r="AC7" s="59"/>
      <c r="AD7" s="59"/>
      <c r="AF7" s="58" t="s">
        <v>103</v>
      </c>
      <c r="AG7" s="59"/>
      <c r="AH7" s="59"/>
      <c r="AI7" s="59"/>
      <c r="AJ7" s="59"/>
      <c r="AK7" s="59"/>
      <c r="AL7" s="59"/>
      <c r="AN7" s="58" t="s">
        <v>98</v>
      </c>
      <c r="AO7" s="59"/>
      <c r="AP7" s="59"/>
      <c r="AQ7" s="59"/>
      <c r="AR7" s="59"/>
      <c r="AS7" s="59"/>
      <c r="AT7" s="59"/>
      <c r="AV7" s="58" t="s">
        <v>99</v>
      </c>
      <c r="AW7" s="59"/>
      <c r="AX7" s="59"/>
      <c r="AY7" s="59"/>
      <c r="AZ7" s="59"/>
      <c r="BA7" s="59"/>
      <c r="BB7" s="59"/>
    </row>
    <row r="8" spans="1:54" x14ac:dyDescent="0.25">
      <c r="F8" s="59"/>
      <c r="G8" s="59"/>
      <c r="H8" s="59"/>
      <c r="I8" s="59"/>
      <c r="J8" s="59"/>
      <c r="K8" s="59"/>
      <c r="L8" s="59"/>
      <c r="M8" s="62" t="s">
        <v>106</v>
      </c>
      <c r="O8" s="59"/>
      <c r="P8" s="59"/>
      <c r="Q8" s="59"/>
      <c r="R8" s="59"/>
      <c r="S8" s="59"/>
      <c r="T8" s="59"/>
      <c r="U8" s="59"/>
      <c r="V8" s="62"/>
      <c r="X8" s="105"/>
      <c r="Y8" s="106"/>
      <c r="Z8" s="106"/>
      <c r="AA8" s="106"/>
      <c r="AB8" s="106"/>
      <c r="AC8" s="106"/>
      <c r="AD8" s="106"/>
      <c r="AF8" s="107"/>
      <c r="AG8" s="107"/>
      <c r="AH8" s="107"/>
      <c r="AI8" s="107"/>
      <c r="AJ8" s="104"/>
      <c r="AK8" s="104"/>
      <c r="AL8" s="104"/>
      <c r="AM8" s="104"/>
      <c r="AN8" s="104"/>
      <c r="AO8" s="104"/>
      <c r="AP8" s="104"/>
      <c r="AQ8" s="104"/>
      <c r="AR8" s="104"/>
      <c r="AS8" s="59"/>
      <c r="AT8" s="107"/>
      <c r="AU8" s="107"/>
      <c r="AV8" s="104"/>
      <c r="AW8" s="104"/>
      <c r="AX8" s="104"/>
      <c r="AY8" s="104"/>
      <c r="AZ8" s="104"/>
      <c r="BA8" s="59"/>
      <c r="BB8" s="107"/>
    </row>
    <row r="9" spans="1:54" x14ac:dyDescent="0.25">
      <c r="B9" s="58"/>
      <c r="C9" s="62"/>
      <c r="D9" s="62"/>
      <c r="F9" s="59" t="s">
        <v>7</v>
      </c>
      <c r="G9" s="59"/>
      <c r="H9" s="59"/>
      <c r="I9" s="62"/>
      <c r="J9" s="62"/>
      <c r="K9" s="62" t="s">
        <v>5</v>
      </c>
      <c r="L9" s="62" t="s">
        <v>12</v>
      </c>
      <c r="M9" s="62" t="s">
        <v>11</v>
      </c>
      <c r="O9" s="59" t="s">
        <v>7</v>
      </c>
      <c r="P9" s="59"/>
      <c r="Q9" s="59"/>
      <c r="R9" s="62"/>
      <c r="S9" s="62"/>
      <c r="T9" s="62" t="s">
        <v>5</v>
      </c>
      <c r="U9" s="62" t="s">
        <v>12</v>
      </c>
      <c r="V9" s="62" t="s">
        <v>11</v>
      </c>
      <c r="X9" s="58" t="s">
        <v>7</v>
      </c>
      <c r="AB9" s="62" t="s">
        <v>5</v>
      </c>
      <c r="AC9" s="62" t="s">
        <v>12</v>
      </c>
      <c r="AD9" s="62" t="s">
        <v>11</v>
      </c>
      <c r="AF9" s="58" t="s">
        <v>7</v>
      </c>
      <c r="AJ9" s="62" t="s">
        <v>5</v>
      </c>
      <c r="AK9" s="62" t="s">
        <v>12</v>
      </c>
      <c r="AL9" s="62" t="s">
        <v>11</v>
      </c>
      <c r="AM9" s="104"/>
      <c r="AN9" s="58" t="s">
        <v>7</v>
      </c>
      <c r="AR9" s="62" t="s">
        <v>5</v>
      </c>
      <c r="AS9" s="62" t="s">
        <v>12</v>
      </c>
      <c r="AT9" s="62" t="s">
        <v>11</v>
      </c>
      <c r="AU9" s="108"/>
      <c r="AV9" s="58" t="s">
        <v>7</v>
      </c>
      <c r="AZ9" s="62" t="s">
        <v>5</v>
      </c>
      <c r="BA9" s="62" t="s">
        <v>12</v>
      </c>
      <c r="BB9" s="62" t="s">
        <v>11</v>
      </c>
    </row>
    <row r="10" spans="1:54" ht="13.8" thickBot="1" x14ac:dyDescent="0.3">
      <c r="B10" s="58"/>
      <c r="C10" s="62"/>
      <c r="D10" s="62"/>
      <c r="F10" s="65" t="s">
        <v>8</v>
      </c>
      <c r="G10" s="65"/>
      <c r="H10" s="65" t="s">
        <v>14</v>
      </c>
      <c r="I10" s="212" t="s">
        <v>1</v>
      </c>
      <c r="J10" s="212" t="s">
        <v>3</v>
      </c>
      <c r="K10" s="64" t="s">
        <v>3</v>
      </c>
      <c r="L10" s="64" t="s">
        <v>3</v>
      </c>
      <c r="M10" s="64" t="s">
        <v>13</v>
      </c>
      <c r="O10" s="65" t="s">
        <v>8</v>
      </c>
      <c r="P10" s="65"/>
      <c r="Q10" s="65" t="s">
        <v>14</v>
      </c>
      <c r="R10" s="212" t="s">
        <v>1</v>
      </c>
      <c r="S10" s="212" t="s">
        <v>3</v>
      </c>
      <c r="T10" s="64" t="s">
        <v>3</v>
      </c>
      <c r="U10" s="64" t="s">
        <v>3</v>
      </c>
      <c r="V10" s="64" t="s">
        <v>13</v>
      </c>
      <c r="X10" s="63" t="s">
        <v>8</v>
      </c>
      <c r="Y10" s="212" t="s">
        <v>1</v>
      </c>
      <c r="Z10" s="212" t="s">
        <v>2</v>
      </c>
      <c r="AA10" s="64" t="s">
        <v>3</v>
      </c>
      <c r="AB10" s="64" t="s">
        <v>3</v>
      </c>
      <c r="AC10" s="64" t="s">
        <v>3</v>
      </c>
      <c r="AD10" s="64" t="s">
        <v>13</v>
      </c>
      <c r="AF10" s="63" t="s">
        <v>8</v>
      </c>
      <c r="AG10" s="212" t="s">
        <v>1</v>
      </c>
      <c r="AH10" s="212"/>
      <c r="AI10" s="212" t="s">
        <v>3</v>
      </c>
      <c r="AJ10" s="64" t="s">
        <v>3</v>
      </c>
      <c r="AK10" s="64" t="s">
        <v>3</v>
      </c>
      <c r="AL10" s="64" t="s">
        <v>13</v>
      </c>
      <c r="AM10" s="109"/>
      <c r="AN10" s="63" t="s">
        <v>8</v>
      </c>
      <c r="AO10" s="212" t="s">
        <v>1</v>
      </c>
      <c r="AP10" s="212" t="s">
        <v>2</v>
      </c>
      <c r="AQ10" s="212" t="s">
        <v>3</v>
      </c>
      <c r="AR10" s="64" t="s">
        <v>3</v>
      </c>
      <c r="AS10" s="64" t="s">
        <v>3</v>
      </c>
      <c r="AT10" s="64" t="s">
        <v>13</v>
      </c>
      <c r="AU10" s="110"/>
      <c r="AV10" s="63" t="s">
        <v>8</v>
      </c>
      <c r="AW10" s="212" t="s">
        <v>1</v>
      </c>
      <c r="AX10" s="212" t="s">
        <v>2</v>
      </c>
      <c r="AY10" s="212" t="s">
        <v>3</v>
      </c>
      <c r="AZ10" s="64" t="s">
        <v>3</v>
      </c>
      <c r="BA10" s="64" t="s">
        <v>3</v>
      </c>
      <c r="BB10" s="64" t="s">
        <v>13</v>
      </c>
    </row>
    <row r="11" spans="1:54" x14ac:dyDescent="0.25">
      <c r="X11" s="58"/>
      <c r="Y11" s="62"/>
      <c r="Z11" s="62"/>
      <c r="AA11" s="144"/>
      <c r="AB11" s="62"/>
      <c r="AC11" s="62"/>
      <c r="AD11" s="62"/>
      <c r="AK11" s="62"/>
      <c r="AN11" s="158"/>
      <c r="AV11" s="158"/>
    </row>
    <row r="12" spans="1:54" ht="13.8" x14ac:dyDescent="0.3">
      <c r="A12" s="154"/>
      <c r="B12" s="66"/>
      <c r="C12" s="155"/>
      <c r="D12" s="32"/>
      <c r="F12" s="66"/>
      <c r="G12" s="66"/>
      <c r="H12" s="115"/>
      <c r="I12" s="102"/>
      <c r="J12" s="102"/>
      <c r="O12" s="66">
        <v>45291</v>
      </c>
      <c r="P12" s="66"/>
      <c r="Q12" s="66">
        <v>45275</v>
      </c>
      <c r="R12" s="102">
        <f>+Y12+AG12</f>
        <v>0</v>
      </c>
      <c r="S12" s="102">
        <f>+AA12+AI12</f>
        <v>929375</v>
      </c>
      <c r="T12" s="102">
        <f t="shared" ref="T12:U12" si="0">+AB12+AJ12</f>
        <v>0</v>
      </c>
      <c r="U12" s="102">
        <f t="shared" si="0"/>
        <v>0</v>
      </c>
      <c r="V12" s="32">
        <f>SUM(R12,S12,T12,U12,)</f>
        <v>929375</v>
      </c>
      <c r="X12" s="66">
        <v>45275</v>
      </c>
      <c r="Y12" s="102">
        <v>0</v>
      </c>
      <c r="Z12" s="71"/>
      <c r="AA12" s="102">
        <v>929375</v>
      </c>
      <c r="AB12" s="102">
        <v>0</v>
      </c>
      <c r="AC12" s="102">
        <v>0</v>
      </c>
      <c r="AD12" s="32">
        <f t="shared" ref="AD12:AD47" si="1">SUM(Y12,AA12:AC12)</f>
        <v>929375</v>
      </c>
      <c r="AF12" s="158">
        <v>45275</v>
      </c>
      <c r="AG12" s="102"/>
      <c r="AH12" s="102"/>
      <c r="AI12" s="102"/>
      <c r="AJ12" s="102"/>
      <c r="AN12" s="158">
        <v>45275</v>
      </c>
      <c r="AS12" s="102"/>
      <c r="AT12" s="30"/>
      <c r="AV12" s="158">
        <v>45275</v>
      </c>
    </row>
    <row r="13" spans="1:54" ht="13.8" x14ac:dyDescent="0.3">
      <c r="A13" s="154"/>
      <c r="B13" s="66"/>
      <c r="C13" s="155"/>
      <c r="D13" s="32"/>
      <c r="F13" s="66">
        <v>45473</v>
      </c>
      <c r="G13" s="66"/>
      <c r="H13" s="115">
        <v>45458</v>
      </c>
      <c r="I13" s="102">
        <f>SUM(Y12:Y13)+SUM(AG12:AG13)</f>
        <v>735000</v>
      </c>
      <c r="J13" s="102">
        <f>SUM(AA12:AA13)+SUM(AI12:AI13)</f>
        <v>3066258.125</v>
      </c>
      <c r="K13" s="102">
        <f>SUM(AB12:AB13)+SUM(AJ12:AJ13)</f>
        <v>0</v>
      </c>
      <c r="L13" s="102">
        <f>SUM(AC12:AC13)+SUM(AK12:AK13)</f>
        <v>-1207508.125</v>
      </c>
      <c r="M13" s="32">
        <f>SUM(I13:L13)</f>
        <v>2593750</v>
      </c>
      <c r="O13" s="66">
        <v>45473</v>
      </c>
      <c r="P13" s="66"/>
      <c r="Q13" s="66">
        <f t="shared" ref="Q13:Q56" si="2">EDATE(Q12,6)</f>
        <v>45458</v>
      </c>
      <c r="R13" s="102">
        <f t="shared" ref="R13:R53" si="3">+Y13+AG13</f>
        <v>735000</v>
      </c>
      <c r="S13" s="102">
        <f t="shared" ref="S13:S53" si="4">+AA13+AI13</f>
        <v>2136883.125</v>
      </c>
      <c r="T13" s="102">
        <f t="shared" ref="T13:T53" si="5">+AB13+AJ13</f>
        <v>0</v>
      </c>
      <c r="U13" s="102">
        <f t="shared" ref="U13:U53" si="6">+AC13+AK13</f>
        <v>-1207508.125</v>
      </c>
      <c r="V13" s="32">
        <f t="shared" ref="V13:V53" si="7">SUM(R13,S13,T13,U13,)</f>
        <v>1664375</v>
      </c>
      <c r="X13" s="66">
        <v>45458</v>
      </c>
      <c r="Y13" s="102">
        <v>735000</v>
      </c>
      <c r="Z13" s="71">
        <v>0.05</v>
      </c>
      <c r="AA13" s="102">
        <v>929375</v>
      </c>
      <c r="AB13" s="102">
        <v>0</v>
      </c>
      <c r="AC13" s="102">
        <v>0</v>
      </c>
      <c r="AD13" s="32">
        <f t="shared" si="1"/>
        <v>1664375</v>
      </c>
      <c r="AF13" s="158">
        <v>45458</v>
      </c>
      <c r="AG13" s="102">
        <f>+AO13+AW13</f>
        <v>0</v>
      </c>
      <c r="AH13" s="145"/>
      <c r="AI13" s="102">
        <f>+AQ13+AY13</f>
        <v>1207508.125</v>
      </c>
      <c r="AJ13" s="102">
        <f>+AR13+AZ13</f>
        <v>0</v>
      </c>
      <c r="AK13" s="102">
        <f>+AS13+BA13</f>
        <v>-1207508.125</v>
      </c>
      <c r="AL13" s="32">
        <f>SUM(AG13,AI13,AJ13:AK13)</f>
        <v>0</v>
      </c>
      <c r="AM13" s="111"/>
      <c r="AN13" s="158">
        <v>45458</v>
      </c>
      <c r="AO13" s="102">
        <v>0</v>
      </c>
      <c r="AP13" s="112">
        <v>5.2499999999999998E-2</v>
      </c>
      <c r="AQ13" s="32">
        <f>+(AO58*AP13)/360*DAYS360(AP4,AN13)</f>
        <v>372290.625</v>
      </c>
      <c r="AR13" s="102">
        <v>0</v>
      </c>
      <c r="AS13" s="102">
        <f>-AQ13</f>
        <v>-372290.625</v>
      </c>
      <c r="AT13" s="102">
        <f>SUM(AO13,AQ13,AR13:AS13)</f>
        <v>0</v>
      </c>
      <c r="AU13" s="30"/>
      <c r="AV13" s="158">
        <v>45458</v>
      </c>
      <c r="AW13" s="102">
        <v>0</v>
      </c>
      <c r="AX13" s="112">
        <v>7.1999999999999995E-2</v>
      </c>
      <c r="AY13" s="102">
        <f>+((SUM(AW13:AW32)*AX14)+SUM(AW33:AW41)*AX33)/360*DAYS360(AX4,AV13)</f>
        <v>835217.5</v>
      </c>
      <c r="AZ13" s="102">
        <v>0</v>
      </c>
      <c r="BA13" s="102">
        <f>-AY13</f>
        <v>-835217.5</v>
      </c>
      <c r="BB13" s="102">
        <f>SUM(AW13,AY13,AZ13:BA13)</f>
        <v>0</v>
      </c>
    </row>
    <row r="14" spans="1:54" ht="13.8" x14ac:dyDescent="0.3">
      <c r="A14" s="154"/>
      <c r="B14" s="66"/>
      <c r="C14" s="155"/>
      <c r="D14" s="32"/>
      <c r="F14" s="66"/>
      <c r="G14" s="66"/>
      <c r="H14" s="115"/>
      <c r="I14" s="102"/>
      <c r="J14" s="102"/>
      <c r="K14" s="102"/>
      <c r="L14" s="102"/>
      <c r="O14" s="66">
        <v>45657</v>
      </c>
      <c r="P14" s="66"/>
      <c r="Q14" s="66">
        <f t="shared" si="2"/>
        <v>45641</v>
      </c>
      <c r="R14" s="102">
        <f t="shared" si="3"/>
        <v>0</v>
      </c>
      <c r="S14" s="102">
        <f t="shared" si="4"/>
        <v>2313267.5</v>
      </c>
      <c r="T14" s="102">
        <f t="shared" si="5"/>
        <v>0</v>
      </c>
      <c r="U14" s="102">
        <f t="shared" si="6"/>
        <v>-1402267.5</v>
      </c>
      <c r="V14" s="32">
        <f t="shared" si="7"/>
        <v>911000</v>
      </c>
      <c r="X14" s="66">
        <v>45641</v>
      </c>
      <c r="Y14" s="102">
        <v>0</v>
      </c>
      <c r="Z14" s="71"/>
      <c r="AA14" s="102">
        <v>911000</v>
      </c>
      <c r="AB14" s="102">
        <v>0</v>
      </c>
      <c r="AC14" s="102">
        <v>0</v>
      </c>
      <c r="AD14" s="32">
        <f t="shared" si="1"/>
        <v>911000</v>
      </c>
      <c r="AF14" s="158">
        <v>45641</v>
      </c>
      <c r="AG14" s="102">
        <f t="shared" ref="AG14:AK53" si="8">+AO14+AW14</f>
        <v>0</v>
      </c>
      <c r="AH14" s="146"/>
      <c r="AI14" s="102">
        <f t="shared" si="8"/>
        <v>1402267.5</v>
      </c>
      <c r="AJ14" s="102">
        <f t="shared" si="8"/>
        <v>0</v>
      </c>
      <c r="AK14" s="102">
        <f t="shared" si="8"/>
        <v>-1402267.5</v>
      </c>
      <c r="AL14" s="32">
        <f t="shared" ref="AL14:AL53" si="9">SUM(AG14,AI14,AJ14:AK14)</f>
        <v>0</v>
      </c>
      <c r="AM14" s="111"/>
      <c r="AN14" s="158">
        <v>45641</v>
      </c>
      <c r="AO14" s="102">
        <v>0</v>
      </c>
      <c r="AP14" s="112">
        <v>5.2499999999999998E-2</v>
      </c>
      <c r="AQ14" s="32">
        <f>+AO14*AP14/2+AQ15</f>
        <v>432337.5</v>
      </c>
      <c r="AR14" s="102">
        <v>0</v>
      </c>
      <c r="AS14" s="102">
        <f>-AQ14</f>
        <v>-432337.5</v>
      </c>
      <c r="AT14" s="102">
        <f t="shared" ref="AT14:AT53" si="10">SUM(AO14,AQ14,AR14:AS14)</f>
        <v>0</v>
      </c>
      <c r="AU14" s="30"/>
      <c r="AV14" s="158">
        <v>45641</v>
      </c>
      <c r="AW14" s="102">
        <v>0</v>
      </c>
      <c r="AX14" s="112">
        <v>7.1999999999999995E-2</v>
      </c>
      <c r="AY14" s="102">
        <f>AX14*AW14/2+AY15</f>
        <v>969930</v>
      </c>
      <c r="AZ14" s="102">
        <v>0</v>
      </c>
      <c r="BA14" s="102">
        <f>-AY14</f>
        <v>-969930</v>
      </c>
      <c r="BB14" s="102">
        <f t="shared" ref="BB14:BB53" si="11">SUM(AW14,AY14,AZ14:BA14)</f>
        <v>0</v>
      </c>
    </row>
    <row r="15" spans="1:54" ht="13.8" x14ac:dyDescent="0.3">
      <c r="A15" s="154"/>
      <c r="B15" s="66"/>
      <c r="C15" s="155"/>
      <c r="D15" s="32"/>
      <c r="F15" s="66">
        <v>45838</v>
      </c>
      <c r="G15" s="66"/>
      <c r="H15" s="115">
        <f>EDATE(H13,12)</f>
        <v>45823</v>
      </c>
      <c r="I15" s="102">
        <f>SUM(Y14:Y15)+SUM(AG14:AG15)</f>
        <v>850000</v>
      </c>
      <c r="J15" s="102">
        <f>SUM(AA14:AA15)+SUM(AI14:AI15)</f>
        <v>4626535</v>
      </c>
      <c r="K15" s="102">
        <f>SUM(AB14:AB15)+SUM(AJ14:AJ15)</f>
        <v>0</v>
      </c>
      <c r="L15" s="102">
        <f>SUM(AC14:AC15)+SUM(AK14:AK15)</f>
        <v>-1970964.88</v>
      </c>
      <c r="M15" s="32">
        <f t="shared" ref="M15" si="12">SUM(I15:L15)</f>
        <v>3505570.12</v>
      </c>
      <c r="O15" s="66">
        <v>45838</v>
      </c>
      <c r="P15" s="66"/>
      <c r="Q15" s="66">
        <f t="shared" si="2"/>
        <v>45823</v>
      </c>
      <c r="R15" s="102">
        <f t="shared" si="3"/>
        <v>850000</v>
      </c>
      <c r="S15" s="102">
        <f t="shared" si="4"/>
        <v>2313267.5</v>
      </c>
      <c r="T15" s="102">
        <f t="shared" si="5"/>
        <v>0</v>
      </c>
      <c r="U15" s="102">
        <f t="shared" si="6"/>
        <v>-568697.38</v>
      </c>
      <c r="V15" s="32">
        <f t="shared" si="7"/>
        <v>2594570.12</v>
      </c>
      <c r="X15" s="66">
        <v>45823</v>
      </c>
      <c r="Y15" s="102">
        <v>850000</v>
      </c>
      <c r="Z15" s="71">
        <v>0.05</v>
      </c>
      <c r="AA15" s="102">
        <v>911000</v>
      </c>
      <c r="AB15" s="102">
        <v>0</v>
      </c>
      <c r="AC15" s="102">
        <v>0</v>
      </c>
      <c r="AD15" s="32">
        <f t="shared" si="1"/>
        <v>1761000</v>
      </c>
      <c r="AF15" s="158">
        <v>45823</v>
      </c>
      <c r="AG15" s="102">
        <f t="shared" si="8"/>
        <v>0</v>
      </c>
      <c r="AH15" s="145"/>
      <c r="AI15" s="102">
        <f t="shared" si="8"/>
        <v>1402267.5</v>
      </c>
      <c r="AJ15" s="102">
        <f t="shared" si="8"/>
        <v>0</v>
      </c>
      <c r="AK15" s="102">
        <f t="shared" si="8"/>
        <v>-568697.38</v>
      </c>
      <c r="AL15" s="102">
        <f t="shared" si="9"/>
        <v>833570.12</v>
      </c>
      <c r="AM15" s="111"/>
      <c r="AN15" s="158">
        <v>45823</v>
      </c>
      <c r="AO15" s="102">
        <v>0</v>
      </c>
      <c r="AP15" s="112">
        <v>5.2499999999999998E-2</v>
      </c>
      <c r="AQ15" s="32">
        <f t="shared" ref="AQ15:AQ53" si="13">+AO15*AP15/2+AQ16</f>
        <v>432337.5</v>
      </c>
      <c r="AR15" s="102">
        <v>0</v>
      </c>
      <c r="AS15" s="102">
        <v>-175336.88</v>
      </c>
      <c r="AT15" s="102">
        <f t="shared" si="10"/>
        <v>257000.62</v>
      </c>
      <c r="AU15" s="30"/>
      <c r="AV15" s="158">
        <v>45823</v>
      </c>
      <c r="AW15" s="102">
        <v>0</v>
      </c>
      <c r="AX15" s="112">
        <v>7.1999999999999995E-2</v>
      </c>
      <c r="AY15" s="102">
        <f t="shared" ref="AY15:AY53" si="14">AX15*AW15/2+AY16</f>
        <v>969930</v>
      </c>
      <c r="AZ15" s="102">
        <v>0</v>
      </c>
      <c r="BA15" s="102">
        <v>-393360.5</v>
      </c>
      <c r="BB15" s="102">
        <f t="shared" si="11"/>
        <v>576569.5</v>
      </c>
    </row>
    <row r="16" spans="1:54" ht="13.8" x14ac:dyDescent="0.3">
      <c r="A16" s="154"/>
      <c r="B16" s="66"/>
      <c r="C16" s="155"/>
      <c r="D16" s="32"/>
      <c r="F16" s="66"/>
      <c r="G16" s="66"/>
      <c r="H16" s="115"/>
      <c r="I16" s="102"/>
      <c r="J16" s="102"/>
      <c r="K16" s="102"/>
      <c r="O16" s="66">
        <v>46022</v>
      </c>
      <c r="P16" s="66"/>
      <c r="Q16" s="66">
        <f t="shared" si="2"/>
        <v>46006</v>
      </c>
      <c r="R16" s="102">
        <f t="shared" si="3"/>
        <v>0</v>
      </c>
      <c r="S16" s="102">
        <f t="shared" si="4"/>
        <v>2292017.5</v>
      </c>
      <c r="T16" s="102">
        <f t="shared" si="5"/>
        <v>0</v>
      </c>
      <c r="U16" s="102">
        <f t="shared" si="6"/>
        <v>0</v>
      </c>
      <c r="V16" s="32">
        <f t="shared" si="7"/>
        <v>2292017.5</v>
      </c>
      <c r="X16" s="66">
        <v>46006</v>
      </c>
      <c r="Y16" s="102">
        <v>0</v>
      </c>
      <c r="Z16" s="71"/>
      <c r="AA16" s="102">
        <v>889750</v>
      </c>
      <c r="AB16" s="102">
        <v>0</v>
      </c>
      <c r="AC16" s="102">
        <v>0</v>
      </c>
      <c r="AD16" s="32">
        <f t="shared" si="1"/>
        <v>889750</v>
      </c>
      <c r="AF16" s="158">
        <v>46006</v>
      </c>
      <c r="AG16" s="102">
        <f t="shared" si="8"/>
        <v>0</v>
      </c>
      <c r="AH16" s="146"/>
      <c r="AI16" s="102">
        <f t="shared" si="8"/>
        <v>1402267.5</v>
      </c>
      <c r="AJ16" s="102">
        <f t="shared" si="8"/>
        <v>0</v>
      </c>
      <c r="AK16" s="102">
        <f t="shared" si="8"/>
        <v>0</v>
      </c>
      <c r="AL16" s="102">
        <f t="shared" si="9"/>
        <v>1402267.5</v>
      </c>
      <c r="AM16" s="111"/>
      <c r="AN16" s="158">
        <v>46006</v>
      </c>
      <c r="AO16" s="102">
        <v>0</v>
      </c>
      <c r="AP16" s="112">
        <v>5.2499999999999998E-2</v>
      </c>
      <c r="AQ16" s="32">
        <f t="shared" si="13"/>
        <v>432337.5</v>
      </c>
      <c r="AR16" s="102">
        <v>0</v>
      </c>
      <c r="AS16" s="102">
        <f t="shared" ref="AS16:AS53" si="15">+BA16+BI16</f>
        <v>0</v>
      </c>
      <c r="AT16" s="102">
        <f t="shared" si="10"/>
        <v>432337.5</v>
      </c>
      <c r="AU16" s="30"/>
      <c r="AV16" s="158">
        <v>46006</v>
      </c>
      <c r="AW16" s="102">
        <v>0</v>
      </c>
      <c r="AX16" s="112">
        <v>7.1999999999999995E-2</v>
      </c>
      <c r="AY16" s="102">
        <f t="shared" si="14"/>
        <v>969930</v>
      </c>
      <c r="AZ16" s="102">
        <v>0</v>
      </c>
      <c r="BA16" s="102">
        <f t="shared" ref="BA16:BA53" si="16">+BI16+BQ16</f>
        <v>0</v>
      </c>
      <c r="BB16" s="102">
        <f t="shared" si="11"/>
        <v>969930</v>
      </c>
    </row>
    <row r="17" spans="1:54" ht="13.8" x14ac:dyDescent="0.3">
      <c r="A17" s="154"/>
      <c r="B17" s="66"/>
      <c r="C17" s="155"/>
      <c r="D17" s="32"/>
      <c r="F17" s="66">
        <v>46203</v>
      </c>
      <c r="G17" s="66"/>
      <c r="H17" s="115">
        <f t="shared" ref="H17" si="17">EDATE(H15,12)</f>
        <v>46188</v>
      </c>
      <c r="I17" s="102">
        <f t="shared" ref="I17" si="18">SUM(Y16:Y17)+SUM(AG16:AG17)</f>
        <v>2050000</v>
      </c>
      <c r="J17" s="102">
        <f t="shared" ref="J17" si="19">SUM(AA16:AA17)+SUM(AI16:AI17)</f>
        <v>4584035</v>
      </c>
      <c r="K17" s="102">
        <f t="shared" ref="K17" si="20">SUM(AB16:AB17)+SUM(AJ16:AJ17)</f>
        <v>0</v>
      </c>
      <c r="L17" s="102">
        <f>SUM(AC16:AC17)+SUM(AK16:AK17)</f>
        <v>0</v>
      </c>
      <c r="M17" s="32">
        <f t="shared" ref="M17" si="21">SUM(I17:L17)</f>
        <v>6634035</v>
      </c>
      <c r="O17" s="66">
        <v>46203</v>
      </c>
      <c r="P17" s="66"/>
      <c r="Q17" s="66">
        <f t="shared" si="2"/>
        <v>46188</v>
      </c>
      <c r="R17" s="102">
        <f t="shared" si="3"/>
        <v>2050000</v>
      </c>
      <c r="S17" s="102">
        <f t="shared" si="4"/>
        <v>2292017.5</v>
      </c>
      <c r="T17" s="102">
        <f t="shared" si="5"/>
        <v>0</v>
      </c>
      <c r="U17" s="102">
        <f t="shared" si="6"/>
        <v>0</v>
      </c>
      <c r="V17" s="32">
        <f t="shared" si="7"/>
        <v>4342017.5</v>
      </c>
      <c r="X17" s="66">
        <v>46188</v>
      </c>
      <c r="Y17" s="102">
        <v>975000</v>
      </c>
      <c r="Z17" s="71">
        <v>0.05</v>
      </c>
      <c r="AA17" s="102">
        <v>889750</v>
      </c>
      <c r="AB17" s="102">
        <v>0</v>
      </c>
      <c r="AC17" s="102">
        <v>0</v>
      </c>
      <c r="AD17" s="32">
        <f t="shared" si="1"/>
        <v>1864750</v>
      </c>
      <c r="AF17" s="158">
        <v>46188</v>
      </c>
      <c r="AG17" s="102">
        <f t="shared" si="8"/>
        <v>1075000</v>
      </c>
      <c r="AH17" s="145"/>
      <c r="AI17" s="102">
        <f t="shared" si="8"/>
        <v>1402267.5</v>
      </c>
      <c r="AJ17" s="102">
        <f t="shared" si="8"/>
        <v>0</v>
      </c>
      <c r="AK17" s="102">
        <f t="shared" si="8"/>
        <v>0</v>
      </c>
      <c r="AL17" s="102">
        <f t="shared" si="9"/>
        <v>2477267.5</v>
      </c>
      <c r="AM17" s="111"/>
      <c r="AN17" s="158">
        <v>46188</v>
      </c>
      <c r="AO17" s="102">
        <v>0</v>
      </c>
      <c r="AP17" s="112">
        <v>5.2499999999999998E-2</v>
      </c>
      <c r="AQ17" s="32">
        <f t="shared" si="13"/>
        <v>432337.5</v>
      </c>
      <c r="AR17" s="102">
        <v>0</v>
      </c>
      <c r="AS17" s="102">
        <f t="shared" si="15"/>
        <v>0</v>
      </c>
      <c r="AT17" s="102">
        <f t="shared" si="10"/>
        <v>432337.5</v>
      </c>
      <c r="AU17" s="30"/>
      <c r="AV17" s="158">
        <v>46188</v>
      </c>
      <c r="AW17" s="102">
        <v>1075000</v>
      </c>
      <c r="AX17" s="112">
        <v>7.1999999999999995E-2</v>
      </c>
      <c r="AY17" s="102">
        <f t="shared" si="14"/>
        <v>969930</v>
      </c>
      <c r="AZ17" s="102">
        <v>0</v>
      </c>
      <c r="BA17" s="102">
        <f t="shared" si="16"/>
        <v>0</v>
      </c>
      <c r="BB17" s="102">
        <f t="shared" si="11"/>
        <v>2044930</v>
      </c>
    </row>
    <row r="18" spans="1:54" ht="13.8" x14ac:dyDescent="0.3">
      <c r="A18" s="154"/>
      <c r="B18" s="66"/>
      <c r="C18" s="155"/>
      <c r="D18" s="32"/>
      <c r="F18" s="66"/>
      <c r="G18" s="66"/>
      <c r="H18" s="115"/>
      <c r="I18" s="102"/>
      <c r="J18" s="102"/>
      <c r="K18" s="102"/>
      <c r="O18" s="66">
        <v>46387</v>
      </c>
      <c r="P18" s="66"/>
      <c r="Q18" s="66">
        <f t="shared" si="2"/>
        <v>46371</v>
      </c>
      <c r="R18" s="102">
        <f t="shared" si="3"/>
        <v>0</v>
      </c>
      <c r="S18" s="102">
        <f t="shared" si="4"/>
        <v>2228942.5</v>
      </c>
      <c r="T18" s="102">
        <f t="shared" si="5"/>
        <v>0</v>
      </c>
      <c r="U18" s="102">
        <f t="shared" si="6"/>
        <v>0</v>
      </c>
      <c r="V18" s="32">
        <f t="shared" si="7"/>
        <v>2228942.5</v>
      </c>
      <c r="X18" s="66">
        <v>46371</v>
      </c>
      <c r="Y18" s="102">
        <v>0</v>
      </c>
      <c r="Z18" s="71"/>
      <c r="AA18" s="102">
        <v>865375</v>
      </c>
      <c r="AB18" s="102">
        <v>0</v>
      </c>
      <c r="AC18" s="102">
        <v>0</v>
      </c>
      <c r="AD18" s="32">
        <f t="shared" si="1"/>
        <v>865375</v>
      </c>
      <c r="AF18" s="158">
        <v>46371</v>
      </c>
      <c r="AG18" s="102">
        <f t="shared" si="8"/>
        <v>0</v>
      </c>
      <c r="AH18" s="146"/>
      <c r="AI18" s="102">
        <f t="shared" si="8"/>
        <v>1363567.5</v>
      </c>
      <c r="AJ18" s="102">
        <f t="shared" si="8"/>
        <v>0</v>
      </c>
      <c r="AK18" s="102">
        <f t="shared" si="8"/>
        <v>0</v>
      </c>
      <c r="AL18" s="102">
        <f t="shared" si="9"/>
        <v>1363567.5</v>
      </c>
      <c r="AM18" s="111"/>
      <c r="AN18" s="158">
        <v>46371</v>
      </c>
      <c r="AO18" s="102">
        <v>0</v>
      </c>
      <c r="AP18" s="112">
        <v>5.2499999999999998E-2</v>
      </c>
      <c r="AQ18" s="32">
        <f t="shared" si="13"/>
        <v>432337.5</v>
      </c>
      <c r="AR18" s="102">
        <v>0</v>
      </c>
      <c r="AS18" s="102">
        <f t="shared" si="15"/>
        <v>0</v>
      </c>
      <c r="AT18" s="102">
        <f t="shared" si="10"/>
        <v>432337.5</v>
      </c>
      <c r="AU18" s="30"/>
      <c r="AV18" s="158">
        <v>46371</v>
      </c>
      <c r="AW18" s="102">
        <v>0</v>
      </c>
      <c r="AX18" s="112">
        <v>7.1999999999999995E-2</v>
      </c>
      <c r="AY18" s="102">
        <f t="shared" si="14"/>
        <v>931230</v>
      </c>
      <c r="AZ18" s="102">
        <v>0</v>
      </c>
      <c r="BA18" s="102">
        <f t="shared" si="16"/>
        <v>0</v>
      </c>
      <c r="BB18" s="102">
        <f t="shared" si="11"/>
        <v>931230</v>
      </c>
    </row>
    <row r="19" spans="1:54" ht="13.8" x14ac:dyDescent="0.3">
      <c r="A19" s="154"/>
      <c r="B19" s="66"/>
      <c r="C19" s="155"/>
      <c r="D19" s="32"/>
      <c r="F19" s="66">
        <v>46568</v>
      </c>
      <c r="G19" s="66"/>
      <c r="H19" s="115">
        <f t="shared" ref="H19" si="22">EDATE(H17,12)</f>
        <v>46553</v>
      </c>
      <c r="I19" s="102">
        <f t="shared" ref="I19" si="23">SUM(Y18:Y19)+SUM(AG18:AG19)</f>
        <v>2290000</v>
      </c>
      <c r="J19" s="102">
        <f t="shared" ref="J19" si="24">SUM(AA18:AA19)+SUM(AI18:AI19)</f>
        <v>4457885</v>
      </c>
      <c r="K19" s="102">
        <f t="shared" ref="K19" si="25">SUM(AB18:AB19)+SUM(AJ18:AJ19)</f>
        <v>0</v>
      </c>
      <c r="L19" s="102">
        <f>SUM(AC18:AC19)+SUM(AK18:AK19)</f>
        <v>0</v>
      </c>
      <c r="M19" s="32">
        <f t="shared" ref="M19" si="26">SUM(I19:L19)</f>
        <v>6747885</v>
      </c>
      <c r="O19" s="66">
        <v>46568</v>
      </c>
      <c r="P19" s="66"/>
      <c r="Q19" s="66">
        <f t="shared" si="2"/>
        <v>46553</v>
      </c>
      <c r="R19" s="102">
        <f t="shared" si="3"/>
        <v>2290000</v>
      </c>
      <c r="S19" s="102">
        <f t="shared" si="4"/>
        <v>2228942.5</v>
      </c>
      <c r="T19" s="102">
        <f t="shared" si="5"/>
        <v>0</v>
      </c>
      <c r="U19" s="102">
        <f t="shared" si="6"/>
        <v>0</v>
      </c>
      <c r="V19" s="32">
        <f t="shared" si="7"/>
        <v>4518942.5</v>
      </c>
      <c r="X19" s="66">
        <v>46553</v>
      </c>
      <c r="Y19" s="102">
        <v>1105000</v>
      </c>
      <c r="Z19" s="71">
        <v>0.05</v>
      </c>
      <c r="AA19" s="102">
        <v>865375</v>
      </c>
      <c r="AB19" s="102">
        <v>0</v>
      </c>
      <c r="AC19" s="102">
        <v>0</v>
      </c>
      <c r="AD19" s="32">
        <f t="shared" si="1"/>
        <v>1970375</v>
      </c>
      <c r="AF19" s="158">
        <v>46553</v>
      </c>
      <c r="AG19" s="102">
        <f t="shared" si="8"/>
        <v>1185000</v>
      </c>
      <c r="AH19" s="146"/>
      <c r="AI19" s="102">
        <f t="shared" si="8"/>
        <v>1363567.5</v>
      </c>
      <c r="AJ19" s="102">
        <f t="shared" si="8"/>
        <v>0</v>
      </c>
      <c r="AK19" s="102">
        <f t="shared" si="8"/>
        <v>0</v>
      </c>
      <c r="AL19" s="102">
        <f t="shared" si="9"/>
        <v>2548567.5</v>
      </c>
      <c r="AM19" s="111"/>
      <c r="AN19" s="158">
        <v>46553</v>
      </c>
      <c r="AO19" s="102">
        <v>0</v>
      </c>
      <c r="AP19" s="112">
        <v>5.2499999999999998E-2</v>
      </c>
      <c r="AQ19" s="32">
        <f t="shared" si="13"/>
        <v>432337.5</v>
      </c>
      <c r="AR19" s="102">
        <v>0</v>
      </c>
      <c r="AS19" s="102">
        <f t="shared" si="15"/>
        <v>0</v>
      </c>
      <c r="AT19" s="102">
        <f t="shared" si="10"/>
        <v>432337.5</v>
      </c>
      <c r="AU19" s="30"/>
      <c r="AV19" s="158">
        <v>46553</v>
      </c>
      <c r="AW19" s="102">
        <v>1185000</v>
      </c>
      <c r="AX19" s="112">
        <v>7.1999999999999995E-2</v>
      </c>
      <c r="AY19" s="102">
        <f t="shared" si="14"/>
        <v>931230</v>
      </c>
      <c r="AZ19" s="102">
        <v>0</v>
      </c>
      <c r="BA19" s="102">
        <f t="shared" si="16"/>
        <v>0</v>
      </c>
      <c r="BB19" s="102">
        <f t="shared" si="11"/>
        <v>2116230</v>
      </c>
    </row>
    <row r="20" spans="1:54" ht="13.8" x14ac:dyDescent="0.3">
      <c r="A20" s="154"/>
      <c r="B20" s="66"/>
      <c r="C20" s="155"/>
      <c r="D20" s="32"/>
      <c r="F20" s="66"/>
      <c r="G20" s="66"/>
      <c r="H20" s="115"/>
      <c r="I20" s="102"/>
      <c r="J20" s="102"/>
      <c r="K20" s="102"/>
      <c r="O20" s="66">
        <v>46752</v>
      </c>
      <c r="P20" s="66"/>
      <c r="Q20" s="66">
        <f t="shared" si="2"/>
        <v>46736</v>
      </c>
      <c r="R20" s="102">
        <f t="shared" si="3"/>
        <v>0</v>
      </c>
      <c r="S20" s="102">
        <f t="shared" si="4"/>
        <v>2158657.5</v>
      </c>
      <c r="T20" s="102">
        <f t="shared" si="5"/>
        <v>0</v>
      </c>
      <c r="U20" s="102">
        <f t="shared" si="6"/>
        <v>0</v>
      </c>
      <c r="V20" s="32">
        <f t="shared" si="7"/>
        <v>2158657.5</v>
      </c>
      <c r="X20" s="66">
        <v>46736</v>
      </c>
      <c r="Y20" s="102">
        <v>0</v>
      </c>
      <c r="Z20" s="71"/>
      <c r="AA20" s="102">
        <v>837750</v>
      </c>
      <c r="AB20" s="102">
        <v>0</v>
      </c>
      <c r="AC20" s="102">
        <v>0</v>
      </c>
      <c r="AD20" s="32">
        <f t="shared" si="1"/>
        <v>837750</v>
      </c>
      <c r="AF20" s="158">
        <v>46736</v>
      </c>
      <c r="AG20" s="102">
        <f t="shared" si="8"/>
        <v>0</v>
      </c>
      <c r="AH20" s="146"/>
      <c r="AI20" s="102">
        <f t="shared" si="8"/>
        <v>1320907.5</v>
      </c>
      <c r="AJ20" s="102">
        <f t="shared" si="8"/>
        <v>0</v>
      </c>
      <c r="AK20" s="102">
        <f t="shared" si="8"/>
        <v>0</v>
      </c>
      <c r="AL20" s="102">
        <f t="shared" si="9"/>
        <v>1320907.5</v>
      </c>
      <c r="AM20" s="111"/>
      <c r="AN20" s="158">
        <v>46736</v>
      </c>
      <c r="AO20" s="102">
        <v>0</v>
      </c>
      <c r="AP20" s="112">
        <v>5.2499999999999998E-2</v>
      </c>
      <c r="AQ20" s="32">
        <f t="shared" si="13"/>
        <v>432337.5</v>
      </c>
      <c r="AR20" s="102">
        <v>0</v>
      </c>
      <c r="AS20" s="102">
        <f t="shared" si="15"/>
        <v>0</v>
      </c>
      <c r="AT20" s="102">
        <f t="shared" si="10"/>
        <v>432337.5</v>
      </c>
      <c r="AU20" s="30"/>
      <c r="AV20" s="158">
        <v>46736</v>
      </c>
      <c r="AW20" s="102">
        <v>0</v>
      </c>
      <c r="AX20" s="112">
        <v>7.1999999999999995E-2</v>
      </c>
      <c r="AY20" s="102">
        <f t="shared" si="14"/>
        <v>888570</v>
      </c>
      <c r="AZ20" s="102">
        <v>0</v>
      </c>
      <c r="BA20" s="102">
        <f t="shared" si="16"/>
        <v>0</v>
      </c>
      <c r="BB20" s="102">
        <f t="shared" si="11"/>
        <v>888570</v>
      </c>
    </row>
    <row r="21" spans="1:54" ht="13.8" x14ac:dyDescent="0.3">
      <c r="A21" s="154"/>
      <c r="B21" s="66"/>
      <c r="C21" s="155"/>
      <c r="D21" s="32"/>
      <c r="F21" s="66">
        <v>46934</v>
      </c>
      <c r="G21" s="66"/>
      <c r="H21" s="115">
        <f t="shared" ref="H21" si="27">EDATE(H19,12)</f>
        <v>46919</v>
      </c>
      <c r="I21" s="102">
        <f t="shared" ref="I21" si="28">SUM(Y20:Y21)+SUM(AG20:AG21)</f>
        <v>2555000</v>
      </c>
      <c r="J21" s="102">
        <f t="shared" ref="J21" si="29">SUM(AA20:AA21)+SUM(AI20:AI21)</f>
        <v>4317315</v>
      </c>
      <c r="K21" s="102">
        <f t="shared" ref="K21" si="30">SUM(AB20:AB21)+SUM(AJ20:AJ21)</f>
        <v>0</v>
      </c>
      <c r="L21" s="102">
        <f>SUM(AC20:AC21)+SUM(AK20:AK21)</f>
        <v>0</v>
      </c>
      <c r="M21" s="32">
        <f t="shared" ref="M21" si="31">SUM(I21:L21)</f>
        <v>6872315</v>
      </c>
      <c r="O21" s="66">
        <v>46934</v>
      </c>
      <c r="P21" s="66"/>
      <c r="Q21" s="66">
        <f t="shared" si="2"/>
        <v>46919</v>
      </c>
      <c r="R21" s="102">
        <f t="shared" si="3"/>
        <v>2555000</v>
      </c>
      <c r="S21" s="102">
        <f t="shared" si="4"/>
        <v>2158657.5</v>
      </c>
      <c r="T21" s="102">
        <f t="shared" si="5"/>
        <v>0</v>
      </c>
      <c r="U21" s="102">
        <f t="shared" si="6"/>
        <v>0</v>
      </c>
      <c r="V21" s="32">
        <f t="shared" si="7"/>
        <v>4713657.5</v>
      </c>
      <c r="X21" s="66">
        <v>46919</v>
      </c>
      <c r="Y21" s="102">
        <v>1245000</v>
      </c>
      <c r="Z21" s="71">
        <v>0.05</v>
      </c>
      <c r="AA21" s="102">
        <v>837750</v>
      </c>
      <c r="AB21" s="102">
        <v>0</v>
      </c>
      <c r="AC21" s="102">
        <v>0</v>
      </c>
      <c r="AD21" s="32">
        <f t="shared" si="1"/>
        <v>2082750</v>
      </c>
      <c r="AF21" s="158">
        <v>46919</v>
      </c>
      <c r="AG21" s="102">
        <f t="shared" si="8"/>
        <v>1310000</v>
      </c>
      <c r="AH21" s="146"/>
      <c r="AI21" s="102">
        <f t="shared" si="8"/>
        <v>1320907.5</v>
      </c>
      <c r="AJ21" s="102">
        <f t="shared" si="8"/>
        <v>0</v>
      </c>
      <c r="AK21" s="102">
        <f t="shared" si="8"/>
        <v>0</v>
      </c>
      <c r="AL21" s="102">
        <f t="shared" si="9"/>
        <v>2630907.5</v>
      </c>
      <c r="AM21" s="111"/>
      <c r="AN21" s="158">
        <v>46919</v>
      </c>
      <c r="AO21" s="102">
        <v>0</v>
      </c>
      <c r="AP21" s="112">
        <v>5.2499999999999998E-2</v>
      </c>
      <c r="AQ21" s="32">
        <f t="shared" si="13"/>
        <v>432337.5</v>
      </c>
      <c r="AR21" s="102">
        <v>0</v>
      </c>
      <c r="AS21" s="102">
        <f t="shared" si="15"/>
        <v>0</v>
      </c>
      <c r="AT21" s="102">
        <f t="shared" si="10"/>
        <v>432337.5</v>
      </c>
      <c r="AU21" s="30"/>
      <c r="AV21" s="158">
        <v>46919</v>
      </c>
      <c r="AW21" s="102">
        <v>1310000</v>
      </c>
      <c r="AX21" s="112">
        <v>7.1999999999999995E-2</v>
      </c>
      <c r="AY21" s="102">
        <f t="shared" si="14"/>
        <v>888570</v>
      </c>
      <c r="AZ21" s="102">
        <v>0</v>
      </c>
      <c r="BA21" s="102">
        <f t="shared" si="16"/>
        <v>0</v>
      </c>
      <c r="BB21" s="102">
        <f t="shared" si="11"/>
        <v>2198570</v>
      </c>
    </row>
    <row r="22" spans="1:54" ht="13.8" x14ac:dyDescent="0.3">
      <c r="A22" s="154"/>
      <c r="B22" s="66"/>
      <c r="C22" s="155"/>
      <c r="D22" s="32"/>
      <c r="F22" s="66"/>
      <c r="G22" s="66"/>
      <c r="H22" s="115"/>
      <c r="I22" s="102"/>
      <c r="J22" s="102"/>
      <c r="K22" s="102"/>
      <c r="O22" s="66">
        <v>47118</v>
      </c>
      <c r="P22" s="66"/>
      <c r="Q22" s="66">
        <f t="shared" si="2"/>
        <v>47102</v>
      </c>
      <c r="R22" s="102">
        <f t="shared" si="3"/>
        <v>0</v>
      </c>
      <c r="S22" s="102">
        <f t="shared" si="4"/>
        <v>2080372.5</v>
      </c>
      <c r="T22" s="102">
        <f t="shared" si="5"/>
        <v>0</v>
      </c>
      <c r="U22" s="102">
        <f t="shared" si="6"/>
        <v>0</v>
      </c>
      <c r="V22" s="32">
        <f t="shared" si="7"/>
        <v>2080372.5</v>
      </c>
      <c r="X22" s="66">
        <v>47102</v>
      </c>
      <c r="Y22" s="102">
        <v>0</v>
      </c>
      <c r="Z22" s="71"/>
      <c r="AA22" s="102">
        <v>806625</v>
      </c>
      <c r="AB22" s="102">
        <v>0</v>
      </c>
      <c r="AC22" s="102">
        <v>0</v>
      </c>
      <c r="AD22" s="32">
        <f t="shared" si="1"/>
        <v>806625</v>
      </c>
      <c r="AF22" s="158">
        <v>47102</v>
      </c>
      <c r="AG22" s="102">
        <f t="shared" si="8"/>
        <v>0</v>
      </c>
      <c r="AH22" s="146"/>
      <c r="AI22" s="102">
        <f t="shared" si="8"/>
        <v>1273747.5</v>
      </c>
      <c r="AJ22" s="102">
        <f t="shared" si="8"/>
        <v>0</v>
      </c>
      <c r="AK22" s="102">
        <f t="shared" si="8"/>
        <v>0</v>
      </c>
      <c r="AL22" s="102">
        <f t="shared" si="9"/>
        <v>1273747.5</v>
      </c>
      <c r="AM22" s="111"/>
      <c r="AN22" s="158">
        <v>47102</v>
      </c>
      <c r="AO22" s="102">
        <v>0</v>
      </c>
      <c r="AP22" s="112">
        <v>5.2499999999999998E-2</v>
      </c>
      <c r="AQ22" s="32">
        <f t="shared" si="13"/>
        <v>432337.5</v>
      </c>
      <c r="AR22" s="102">
        <v>0</v>
      </c>
      <c r="AS22" s="102">
        <f t="shared" si="15"/>
        <v>0</v>
      </c>
      <c r="AT22" s="102">
        <f t="shared" si="10"/>
        <v>432337.5</v>
      </c>
      <c r="AU22" s="30"/>
      <c r="AV22" s="158">
        <v>47102</v>
      </c>
      <c r="AW22" s="102">
        <v>0</v>
      </c>
      <c r="AX22" s="112">
        <v>7.1999999999999995E-2</v>
      </c>
      <c r="AY22" s="102">
        <f t="shared" si="14"/>
        <v>841410</v>
      </c>
      <c r="AZ22" s="102">
        <v>0</v>
      </c>
      <c r="BA22" s="102">
        <f t="shared" si="16"/>
        <v>0</v>
      </c>
      <c r="BB22" s="102">
        <f t="shared" si="11"/>
        <v>841410</v>
      </c>
    </row>
    <row r="23" spans="1:54" ht="13.8" x14ac:dyDescent="0.3">
      <c r="A23" s="154"/>
      <c r="B23" s="66"/>
      <c r="C23" s="155"/>
      <c r="D23" s="32"/>
      <c r="F23" s="66">
        <v>47299</v>
      </c>
      <c r="G23" s="66"/>
      <c r="H23" s="115">
        <f t="shared" ref="H23" si="32">EDATE(H21,12)</f>
        <v>47284</v>
      </c>
      <c r="I23" s="102">
        <f t="shared" ref="I23" si="33">SUM(Y22:Y23)+SUM(AG22:AG23)</f>
        <v>2840000</v>
      </c>
      <c r="J23" s="102">
        <f t="shared" ref="J23" si="34">SUM(AA22:AA23)+SUM(AI22:AI23)</f>
        <v>4160745</v>
      </c>
      <c r="K23" s="102">
        <f t="shared" ref="K23" si="35">SUM(AB22:AB23)+SUM(AJ22:AJ23)</f>
        <v>0</v>
      </c>
      <c r="L23" s="102">
        <f>SUM(AC22:AC23)+SUM(AK22:AK23)</f>
        <v>0</v>
      </c>
      <c r="M23" s="32">
        <f t="shared" ref="M23" si="36">SUM(I23:L23)</f>
        <v>7000745</v>
      </c>
      <c r="O23" s="66">
        <v>47299</v>
      </c>
      <c r="P23" s="66"/>
      <c r="Q23" s="66">
        <f t="shared" si="2"/>
        <v>47284</v>
      </c>
      <c r="R23" s="102">
        <f t="shared" si="3"/>
        <v>2840000</v>
      </c>
      <c r="S23" s="102">
        <f t="shared" si="4"/>
        <v>2080372.5</v>
      </c>
      <c r="T23" s="102">
        <f t="shared" si="5"/>
        <v>0</v>
      </c>
      <c r="U23" s="102">
        <f t="shared" si="6"/>
        <v>0</v>
      </c>
      <c r="V23" s="32">
        <f t="shared" si="7"/>
        <v>4920372.5</v>
      </c>
      <c r="X23" s="66">
        <v>47284</v>
      </c>
      <c r="Y23" s="102">
        <v>1395000</v>
      </c>
      <c r="Z23" s="71">
        <v>0.05</v>
      </c>
      <c r="AA23" s="102">
        <v>806625</v>
      </c>
      <c r="AB23" s="102">
        <v>0</v>
      </c>
      <c r="AC23" s="102">
        <v>0</v>
      </c>
      <c r="AD23" s="32">
        <f t="shared" si="1"/>
        <v>2201625</v>
      </c>
      <c r="AF23" s="158">
        <v>47284</v>
      </c>
      <c r="AG23" s="102">
        <f t="shared" si="8"/>
        <v>1445000</v>
      </c>
      <c r="AH23" s="146"/>
      <c r="AI23" s="102">
        <f t="shared" si="8"/>
        <v>1273747.5</v>
      </c>
      <c r="AJ23" s="102">
        <f t="shared" si="8"/>
        <v>0</v>
      </c>
      <c r="AK23" s="102">
        <f t="shared" si="8"/>
        <v>0</v>
      </c>
      <c r="AL23" s="102">
        <f t="shared" si="9"/>
        <v>2718747.5</v>
      </c>
      <c r="AM23" s="111"/>
      <c r="AN23" s="158">
        <v>47284</v>
      </c>
      <c r="AO23" s="102">
        <v>0</v>
      </c>
      <c r="AP23" s="112">
        <v>5.2499999999999998E-2</v>
      </c>
      <c r="AQ23" s="32">
        <f t="shared" si="13"/>
        <v>432337.5</v>
      </c>
      <c r="AR23" s="102">
        <v>0</v>
      </c>
      <c r="AS23" s="102">
        <f t="shared" si="15"/>
        <v>0</v>
      </c>
      <c r="AT23" s="102">
        <f t="shared" si="10"/>
        <v>432337.5</v>
      </c>
      <c r="AU23" s="30"/>
      <c r="AV23" s="158">
        <v>47284</v>
      </c>
      <c r="AW23" s="102">
        <v>1445000</v>
      </c>
      <c r="AX23" s="112">
        <v>7.1999999999999995E-2</v>
      </c>
      <c r="AY23" s="102">
        <f t="shared" si="14"/>
        <v>841410</v>
      </c>
      <c r="AZ23" s="102">
        <v>0</v>
      </c>
      <c r="BA23" s="102">
        <f t="shared" si="16"/>
        <v>0</v>
      </c>
      <c r="BB23" s="102">
        <f t="shared" si="11"/>
        <v>2286410</v>
      </c>
    </row>
    <row r="24" spans="1:54" ht="13.8" x14ac:dyDescent="0.3">
      <c r="A24" s="154"/>
      <c r="B24" s="66"/>
      <c r="C24" s="155"/>
      <c r="D24" s="32"/>
      <c r="F24" s="66"/>
      <c r="G24" s="66"/>
      <c r="H24" s="115"/>
      <c r="I24" s="102"/>
      <c r="J24" s="102"/>
      <c r="K24" s="102"/>
      <c r="O24" s="66">
        <v>47483</v>
      </c>
      <c r="P24" s="66"/>
      <c r="Q24" s="66">
        <f t="shared" si="2"/>
        <v>47467</v>
      </c>
      <c r="R24" s="102">
        <f t="shared" si="3"/>
        <v>0</v>
      </c>
      <c r="S24" s="102">
        <f t="shared" si="4"/>
        <v>1993477.5</v>
      </c>
      <c r="T24" s="102">
        <f t="shared" si="5"/>
        <v>0</v>
      </c>
      <c r="U24" s="102">
        <f t="shared" si="6"/>
        <v>0</v>
      </c>
      <c r="V24" s="32">
        <f t="shared" si="7"/>
        <v>1993477.5</v>
      </c>
      <c r="X24" s="66">
        <v>47467</v>
      </c>
      <c r="Y24" s="102">
        <v>0</v>
      </c>
      <c r="Z24" s="71"/>
      <c r="AA24" s="102">
        <v>771750</v>
      </c>
      <c r="AB24" s="102">
        <v>0</v>
      </c>
      <c r="AC24" s="102">
        <v>0</v>
      </c>
      <c r="AD24" s="32">
        <f t="shared" si="1"/>
        <v>771750</v>
      </c>
      <c r="AF24" s="158">
        <v>47467</v>
      </c>
      <c r="AG24" s="102">
        <f t="shared" si="8"/>
        <v>0</v>
      </c>
      <c r="AH24" s="146"/>
      <c r="AI24" s="102">
        <f t="shared" si="8"/>
        <v>1221727.5</v>
      </c>
      <c r="AJ24" s="102">
        <f t="shared" si="8"/>
        <v>0</v>
      </c>
      <c r="AK24" s="102">
        <f t="shared" si="8"/>
        <v>0</v>
      </c>
      <c r="AL24" s="102">
        <f t="shared" si="9"/>
        <v>1221727.5</v>
      </c>
      <c r="AM24" s="111"/>
      <c r="AN24" s="158">
        <v>47467</v>
      </c>
      <c r="AO24" s="102">
        <v>0</v>
      </c>
      <c r="AP24" s="112">
        <v>5.2499999999999998E-2</v>
      </c>
      <c r="AQ24" s="32">
        <f t="shared" si="13"/>
        <v>432337.5</v>
      </c>
      <c r="AR24" s="102">
        <v>0</v>
      </c>
      <c r="AS24" s="102">
        <f t="shared" si="15"/>
        <v>0</v>
      </c>
      <c r="AT24" s="102">
        <f t="shared" si="10"/>
        <v>432337.5</v>
      </c>
      <c r="AU24" s="30"/>
      <c r="AV24" s="158">
        <v>47467</v>
      </c>
      <c r="AW24" s="102">
        <v>0</v>
      </c>
      <c r="AX24" s="112">
        <v>7.1999999999999995E-2</v>
      </c>
      <c r="AY24" s="102">
        <f t="shared" si="14"/>
        <v>789390</v>
      </c>
      <c r="AZ24" s="102">
        <v>0</v>
      </c>
      <c r="BA24" s="102">
        <f t="shared" si="16"/>
        <v>0</v>
      </c>
      <c r="BB24" s="102">
        <f t="shared" si="11"/>
        <v>789390</v>
      </c>
    </row>
    <row r="25" spans="1:54" ht="13.8" x14ac:dyDescent="0.3">
      <c r="A25" s="154"/>
      <c r="B25" s="66"/>
      <c r="C25" s="155"/>
      <c r="D25" s="32"/>
      <c r="F25" s="66">
        <v>47664</v>
      </c>
      <c r="G25" s="66"/>
      <c r="H25" s="115">
        <f t="shared" ref="H25" si="37">EDATE(H23,12)</f>
        <v>47649</v>
      </c>
      <c r="I25" s="102">
        <f t="shared" ref="I25" si="38">SUM(Y24:Y25)+SUM(AG24:AG25)</f>
        <v>3145000</v>
      </c>
      <c r="J25" s="102">
        <f t="shared" ref="J25" si="39">SUM(AA24:AA25)+SUM(AI24:AI25)</f>
        <v>3986955</v>
      </c>
      <c r="K25" s="102">
        <f t="shared" ref="K25" si="40">SUM(AB24:AB25)+SUM(AJ24:AJ25)</f>
        <v>0</v>
      </c>
      <c r="L25" s="102">
        <f>SUM(AC24:AC25)+SUM(AK24:AK25)</f>
        <v>0</v>
      </c>
      <c r="M25" s="32">
        <f t="shared" ref="M25" si="41">SUM(I25:L25)</f>
        <v>7131955</v>
      </c>
      <c r="O25" s="66">
        <v>47664</v>
      </c>
      <c r="P25" s="66"/>
      <c r="Q25" s="66">
        <f t="shared" si="2"/>
        <v>47649</v>
      </c>
      <c r="R25" s="102">
        <f t="shared" si="3"/>
        <v>3145000</v>
      </c>
      <c r="S25" s="102">
        <f t="shared" si="4"/>
        <v>1993477.5</v>
      </c>
      <c r="T25" s="102">
        <f t="shared" si="5"/>
        <v>0</v>
      </c>
      <c r="U25" s="102">
        <f t="shared" si="6"/>
        <v>0</v>
      </c>
      <c r="V25" s="32">
        <f t="shared" si="7"/>
        <v>5138477.5</v>
      </c>
      <c r="X25" s="66">
        <v>47649</v>
      </c>
      <c r="Y25" s="102">
        <v>1555000</v>
      </c>
      <c r="Z25" s="71">
        <v>5.2499999999999998E-2</v>
      </c>
      <c r="AA25" s="102">
        <v>771750</v>
      </c>
      <c r="AB25" s="102">
        <v>0</v>
      </c>
      <c r="AC25" s="102">
        <v>0</v>
      </c>
      <c r="AD25" s="32">
        <f t="shared" si="1"/>
        <v>2326750</v>
      </c>
      <c r="AF25" s="158">
        <v>47649</v>
      </c>
      <c r="AG25" s="102">
        <f t="shared" si="8"/>
        <v>1590000</v>
      </c>
      <c r="AH25" s="146"/>
      <c r="AI25" s="102">
        <f t="shared" si="8"/>
        <v>1221727.5</v>
      </c>
      <c r="AJ25" s="102">
        <f t="shared" si="8"/>
        <v>0</v>
      </c>
      <c r="AK25" s="102">
        <f t="shared" si="8"/>
        <v>0</v>
      </c>
      <c r="AL25" s="102">
        <f t="shared" si="9"/>
        <v>2811727.5</v>
      </c>
      <c r="AM25" s="111"/>
      <c r="AN25" s="158">
        <v>47649</v>
      </c>
      <c r="AO25" s="102">
        <v>0</v>
      </c>
      <c r="AP25" s="112">
        <v>5.2499999999999998E-2</v>
      </c>
      <c r="AQ25" s="32">
        <f t="shared" si="13"/>
        <v>432337.5</v>
      </c>
      <c r="AR25" s="102">
        <v>0</v>
      </c>
      <c r="AS25" s="102">
        <f t="shared" si="15"/>
        <v>0</v>
      </c>
      <c r="AT25" s="102">
        <f t="shared" si="10"/>
        <v>432337.5</v>
      </c>
      <c r="AU25" s="30"/>
      <c r="AV25" s="158">
        <v>47649</v>
      </c>
      <c r="AW25" s="102">
        <v>1590000</v>
      </c>
      <c r="AX25" s="112">
        <v>7.1999999999999995E-2</v>
      </c>
      <c r="AY25" s="102">
        <f t="shared" si="14"/>
        <v>789390</v>
      </c>
      <c r="AZ25" s="102">
        <v>0</v>
      </c>
      <c r="BA25" s="102">
        <f t="shared" si="16"/>
        <v>0</v>
      </c>
      <c r="BB25" s="102">
        <f t="shared" si="11"/>
        <v>2379390</v>
      </c>
    </row>
    <row r="26" spans="1:54" ht="13.8" x14ac:dyDescent="0.3">
      <c r="A26" s="154"/>
      <c r="B26" s="66"/>
      <c r="C26" s="155"/>
      <c r="D26" s="32"/>
      <c r="F26" s="66"/>
      <c r="G26" s="66"/>
      <c r="H26" s="115"/>
      <c r="I26" s="102"/>
      <c r="J26" s="102"/>
      <c r="K26" s="102"/>
      <c r="O26" s="66">
        <v>47848</v>
      </c>
      <c r="P26" s="66"/>
      <c r="Q26" s="66">
        <f t="shared" si="2"/>
        <v>47832</v>
      </c>
      <c r="R26" s="102">
        <f t="shared" si="3"/>
        <v>0</v>
      </c>
      <c r="S26" s="102">
        <f t="shared" si="4"/>
        <v>1895418.75</v>
      </c>
      <c r="T26" s="102">
        <f t="shared" si="5"/>
        <v>0</v>
      </c>
      <c r="U26" s="102">
        <f t="shared" si="6"/>
        <v>0</v>
      </c>
      <c r="V26" s="32">
        <f t="shared" si="7"/>
        <v>1895418.75</v>
      </c>
      <c r="X26" s="66">
        <v>47832</v>
      </c>
      <c r="Y26" s="102">
        <v>0</v>
      </c>
      <c r="Z26" s="71"/>
      <c r="AA26" s="102">
        <v>730931.25</v>
      </c>
      <c r="AB26" s="102">
        <v>0</v>
      </c>
      <c r="AC26" s="102">
        <v>0</v>
      </c>
      <c r="AD26" s="32">
        <f t="shared" si="1"/>
        <v>730931.25</v>
      </c>
      <c r="AF26" s="158">
        <v>47832</v>
      </c>
      <c r="AG26" s="102">
        <f t="shared" si="8"/>
        <v>0</v>
      </c>
      <c r="AH26" s="146"/>
      <c r="AI26" s="102">
        <f t="shared" si="8"/>
        <v>1164487.5</v>
      </c>
      <c r="AJ26" s="102">
        <f t="shared" si="8"/>
        <v>0</v>
      </c>
      <c r="AK26" s="102">
        <f t="shared" si="8"/>
        <v>0</v>
      </c>
      <c r="AL26" s="102">
        <f t="shared" si="9"/>
        <v>1164487.5</v>
      </c>
      <c r="AM26" s="111"/>
      <c r="AN26" s="158">
        <v>47832</v>
      </c>
      <c r="AO26" s="102">
        <v>0</v>
      </c>
      <c r="AP26" s="112">
        <v>5.2499999999999998E-2</v>
      </c>
      <c r="AQ26" s="32">
        <f t="shared" si="13"/>
        <v>432337.5</v>
      </c>
      <c r="AR26" s="102">
        <v>0</v>
      </c>
      <c r="AS26" s="102">
        <f t="shared" si="15"/>
        <v>0</v>
      </c>
      <c r="AT26" s="102">
        <f t="shared" si="10"/>
        <v>432337.5</v>
      </c>
      <c r="AU26" s="30"/>
      <c r="AV26" s="158">
        <v>47832</v>
      </c>
      <c r="AW26" s="102">
        <v>0</v>
      </c>
      <c r="AX26" s="112">
        <v>7.1999999999999995E-2</v>
      </c>
      <c r="AY26" s="102">
        <f t="shared" si="14"/>
        <v>732150</v>
      </c>
      <c r="AZ26" s="102">
        <v>0</v>
      </c>
      <c r="BA26" s="102">
        <f t="shared" si="16"/>
        <v>0</v>
      </c>
      <c r="BB26" s="102">
        <f t="shared" si="11"/>
        <v>732150</v>
      </c>
    </row>
    <row r="27" spans="1:54" ht="13.8" x14ac:dyDescent="0.3">
      <c r="A27" s="154"/>
      <c r="B27" s="66"/>
      <c r="C27" s="155"/>
      <c r="D27" s="32"/>
      <c r="F27" s="66">
        <v>48029</v>
      </c>
      <c r="G27" s="66"/>
      <c r="H27" s="115">
        <f t="shared" ref="H27" si="42">EDATE(H25,12)</f>
        <v>48014</v>
      </c>
      <c r="I27" s="102">
        <f t="shared" ref="I27" si="43">SUM(Y26:Y27)+SUM(AG26:AG27)</f>
        <v>3480000</v>
      </c>
      <c r="J27" s="102">
        <f t="shared" ref="J27" si="44">SUM(AA26:AA27)+SUM(AI26:AI27)</f>
        <v>3790837.5</v>
      </c>
      <c r="K27" s="102">
        <f t="shared" ref="K27" si="45">SUM(AB26:AB27)+SUM(AJ26:AJ27)</f>
        <v>0</v>
      </c>
      <c r="L27" s="102">
        <f>SUM(AC26:AC27)+SUM(AK26:AK27)</f>
        <v>0</v>
      </c>
      <c r="M27" s="32">
        <f t="shared" ref="M27" si="46">SUM(I27:L27)</f>
        <v>7270837.5</v>
      </c>
      <c r="O27" s="66">
        <v>48029</v>
      </c>
      <c r="P27" s="66"/>
      <c r="Q27" s="66">
        <f t="shared" si="2"/>
        <v>48014</v>
      </c>
      <c r="R27" s="102">
        <f t="shared" si="3"/>
        <v>3480000</v>
      </c>
      <c r="S27" s="102">
        <f t="shared" si="4"/>
        <v>1895418.75</v>
      </c>
      <c r="T27" s="102">
        <f t="shared" si="5"/>
        <v>0</v>
      </c>
      <c r="U27" s="102">
        <f t="shared" si="6"/>
        <v>0</v>
      </c>
      <c r="V27" s="32">
        <f t="shared" si="7"/>
        <v>5375418.75</v>
      </c>
      <c r="X27" s="66">
        <v>48014</v>
      </c>
      <c r="Y27" s="102">
        <v>1730000</v>
      </c>
      <c r="Z27" s="71">
        <v>5.2499999999999998E-2</v>
      </c>
      <c r="AA27" s="102">
        <v>730931.25</v>
      </c>
      <c r="AB27" s="102">
        <v>0</v>
      </c>
      <c r="AC27" s="102">
        <v>0</v>
      </c>
      <c r="AD27" s="32">
        <f t="shared" si="1"/>
        <v>2460931.25</v>
      </c>
      <c r="AF27" s="158">
        <v>48014</v>
      </c>
      <c r="AG27" s="102">
        <f t="shared" si="8"/>
        <v>1750000</v>
      </c>
      <c r="AH27" s="146"/>
      <c r="AI27" s="102">
        <f t="shared" si="8"/>
        <v>1164487.5</v>
      </c>
      <c r="AJ27" s="102">
        <f t="shared" si="8"/>
        <v>0</v>
      </c>
      <c r="AK27" s="102">
        <f t="shared" si="8"/>
        <v>0</v>
      </c>
      <c r="AL27" s="102">
        <f t="shared" si="9"/>
        <v>2914487.5</v>
      </c>
      <c r="AM27" s="111"/>
      <c r="AN27" s="158">
        <v>48014</v>
      </c>
      <c r="AO27" s="102">
        <v>0</v>
      </c>
      <c r="AP27" s="112">
        <v>5.2499999999999998E-2</v>
      </c>
      <c r="AQ27" s="32">
        <f t="shared" si="13"/>
        <v>432337.5</v>
      </c>
      <c r="AR27" s="102">
        <v>0</v>
      </c>
      <c r="AS27" s="102">
        <f t="shared" si="15"/>
        <v>0</v>
      </c>
      <c r="AT27" s="102">
        <f t="shared" si="10"/>
        <v>432337.5</v>
      </c>
      <c r="AU27" s="30"/>
      <c r="AV27" s="158">
        <v>48014</v>
      </c>
      <c r="AW27" s="102">
        <v>1750000</v>
      </c>
      <c r="AX27" s="112">
        <v>7.1999999999999995E-2</v>
      </c>
      <c r="AY27" s="102">
        <f t="shared" si="14"/>
        <v>732150</v>
      </c>
      <c r="AZ27" s="102">
        <v>0</v>
      </c>
      <c r="BA27" s="102">
        <f t="shared" si="16"/>
        <v>0</v>
      </c>
      <c r="BB27" s="102">
        <f t="shared" si="11"/>
        <v>2482150</v>
      </c>
    </row>
    <row r="28" spans="1:54" ht="13.8" x14ac:dyDescent="0.3">
      <c r="A28" s="154"/>
      <c r="B28" s="66"/>
      <c r="C28" s="155"/>
      <c r="D28" s="32"/>
      <c r="F28" s="66"/>
      <c r="G28" s="66"/>
      <c r="H28" s="115"/>
      <c r="I28" s="102"/>
      <c r="J28" s="102"/>
      <c r="K28" s="102"/>
      <c r="O28" s="66">
        <v>48213</v>
      </c>
      <c r="P28" s="66"/>
      <c r="Q28" s="66">
        <f t="shared" si="2"/>
        <v>48197</v>
      </c>
      <c r="R28" s="102">
        <f t="shared" si="3"/>
        <v>0</v>
      </c>
      <c r="S28" s="102">
        <f t="shared" si="4"/>
        <v>1787006.25</v>
      </c>
      <c r="T28" s="102">
        <f t="shared" si="5"/>
        <v>0</v>
      </c>
      <c r="U28" s="102">
        <f t="shared" si="6"/>
        <v>0</v>
      </c>
      <c r="V28" s="32">
        <f t="shared" si="7"/>
        <v>1787006.25</v>
      </c>
      <c r="X28" s="66">
        <v>48197</v>
      </c>
      <c r="Y28" s="102">
        <v>0</v>
      </c>
      <c r="Z28" s="71"/>
      <c r="AA28" s="102">
        <v>685518.75</v>
      </c>
      <c r="AB28" s="102">
        <v>0</v>
      </c>
      <c r="AC28" s="102">
        <v>0</v>
      </c>
      <c r="AD28" s="32">
        <f t="shared" si="1"/>
        <v>685518.75</v>
      </c>
      <c r="AF28" s="158">
        <v>48197</v>
      </c>
      <c r="AG28" s="102">
        <f t="shared" si="8"/>
        <v>0</v>
      </c>
      <c r="AH28" s="146"/>
      <c r="AI28" s="102">
        <f t="shared" si="8"/>
        <v>1101487.5</v>
      </c>
      <c r="AJ28" s="102">
        <f t="shared" si="8"/>
        <v>0</v>
      </c>
      <c r="AK28" s="102">
        <f t="shared" si="8"/>
        <v>0</v>
      </c>
      <c r="AL28" s="102">
        <f t="shared" si="9"/>
        <v>1101487.5</v>
      </c>
      <c r="AM28" s="111"/>
      <c r="AN28" s="158">
        <v>48197</v>
      </c>
      <c r="AO28" s="102">
        <v>0</v>
      </c>
      <c r="AP28" s="112">
        <v>5.2499999999999998E-2</v>
      </c>
      <c r="AQ28" s="32">
        <f t="shared" si="13"/>
        <v>432337.5</v>
      </c>
      <c r="AR28" s="102">
        <v>0</v>
      </c>
      <c r="AS28" s="102">
        <f t="shared" si="15"/>
        <v>0</v>
      </c>
      <c r="AT28" s="102">
        <f t="shared" si="10"/>
        <v>432337.5</v>
      </c>
      <c r="AU28" s="30"/>
      <c r="AV28" s="158">
        <v>48197</v>
      </c>
      <c r="AW28" s="102">
        <v>0</v>
      </c>
      <c r="AX28" s="112">
        <v>7.1999999999999995E-2</v>
      </c>
      <c r="AY28" s="102">
        <f t="shared" si="14"/>
        <v>669150</v>
      </c>
      <c r="AZ28" s="102">
        <v>0</v>
      </c>
      <c r="BA28" s="102">
        <f t="shared" si="16"/>
        <v>0</v>
      </c>
      <c r="BB28" s="102">
        <f t="shared" si="11"/>
        <v>669150</v>
      </c>
    </row>
    <row r="29" spans="1:54" ht="13.8" x14ac:dyDescent="0.3">
      <c r="A29" s="154"/>
      <c r="B29" s="66"/>
      <c r="C29" s="155"/>
      <c r="D29" s="32"/>
      <c r="F29" s="66">
        <v>48395</v>
      </c>
      <c r="G29" s="66"/>
      <c r="H29" s="115">
        <f t="shared" ref="H29" si="47">EDATE(H27,12)</f>
        <v>48380</v>
      </c>
      <c r="I29" s="102">
        <f t="shared" ref="I29" si="48">SUM(Y28:Y29)+SUM(AG28:AG29)</f>
        <v>3835000</v>
      </c>
      <c r="J29" s="102">
        <f t="shared" ref="J29" si="49">SUM(AA28:AA29)+SUM(AI28:AI29)</f>
        <v>3574012.5</v>
      </c>
      <c r="K29" s="102">
        <f t="shared" ref="K29" si="50">SUM(AB28:AB29)+SUM(AJ28:AJ29)</f>
        <v>0</v>
      </c>
      <c r="L29" s="102">
        <f>SUM(AC28:AC29)+SUM(AK28:AK29)</f>
        <v>0</v>
      </c>
      <c r="M29" s="32">
        <f t="shared" ref="M29" si="51">SUM(I29:L29)</f>
        <v>7409012.5</v>
      </c>
      <c r="O29" s="66">
        <v>48395</v>
      </c>
      <c r="P29" s="66"/>
      <c r="Q29" s="66">
        <f t="shared" si="2"/>
        <v>48380</v>
      </c>
      <c r="R29" s="102">
        <f t="shared" si="3"/>
        <v>3835000</v>
      </c>
      <c r="S29" s="102">
        <f t="shared" si="4"/>
        <v>1787006.25</v>
      </c>
      <c r="T29" s="102">
        <f t="shared" si="5"/>
        <v>0</v>
      </c>
      <c r="U29" s="102">
        <f t="shared" si="6"/>
        <v>0</v>
      </c>
      <c r="V29" s="32">
        <f t="shared" si="7"/>
        <v>5622006.25</v>
      </c>
      <c r="X29" s="66">
        <v>48380</v>
      </c>
      <c r="Y29" s="102">
        <v>1915000</v>
      </c>
      <c r="Z29" s="71">
        <v>5.2499999999999998E-2</v>
      </c>
      <c r="AA29" s="102">
        <v>685518.75</v>
      </c>
      <c r="AB29" s="102">
        <v>0</v>
      </c>
      <c r="AC29" s="102">
        <v>0</v>
      </c>
      <c r="AD29" s="32">
        <f t="shared" si="1"/>
        <v>2600518.75</v>
      </c>
      <c r="AF29" s="158">
        <v>48380</v>
      </c>
      <c r="AG29" s="102">
        <f t="shared" si="8"/>
        <v>1920000</v>
      </c>
      <c r="AH29" s="146"/>
      <c r="AI29" s="102">
        <f t="shared" si="8"/>
        <v>1101487.5</v>
      </c>
      <c r="AJ29" s="102">
        <f t="shared" si="8"/>
        <v>0</v>
      </c>
      <c r="AK29" s="102">
        <f t="shared" si="8"/>
        <v>0</v>
      </c>
      <c r="AL29" s="102">
        <f t="shared" si="9"/>
        <v>3021487.5</v>
      </c>
      <c r="AM29" s="111"/>
      <c r="AN29" s="158">
        <v>48380</v>
      </c>
      <c r="AO29" s="102">
        <v>0</v>
      </c>
      <c r="AP29" s="112">
        <v>5.2499999999999998E-2</v>
      </c>
      <c r="AQ29" s="32">
        <f t="shared" si="13"/>
        <v>432337.5</v>
      </c>
      <c r="AR29" s="102">
        <v>0</v>
      </c>
      <c r="AS29" s="102">
        <f t="shared" si="15"/>
        <v>0</v>
      </c>
      <c r="AT29" s="102">
        <f t="shared" si="10"/>
        <v>432337.5</v>
      </c>
      <c r="AU29" s="30"/>
      <c r="AV29" s="158">
        <v>48380</v>
      </c>
      <c r="AW29" s="102">
        <v>1920000</v>
      </c>
      <c r="AX29" s="112">
        <v>7.1999999999999995E-2</v>
      </c>
      <c r="AY29" s="102">
        <f t="shared" si="14"/>
        <v>669150</v>
      </c>
      <c r="AZ29" s="102">
        <v>0</v>
      </c>
      <c r="BA29" s="102">
        <f t="shared" si="16"/>
        <v>0</v>
      </c>
      <c r="BB29" s="102">
        <f t="shared" si="11"/>
        <v>2589150</v>
      </c>
    </row>
    <row r="30" spans="1:54" ht="13.8" x14ac:dyDescent="0.3">
      <c r="A30" s="154"/>
      <c r="B30" s="66"/>
      <c r="C30" s="155"/>
      <c r="D30" s="32"/>
      <c r="F30" s="66"/>
      <c r="G30" s="66"/>
      <c r="H30" s="115"/>
      <c r="I30" s="102"/>
      <c r="J30" s="102"/>
      <c r="K30" s="102"/>
      <c r="O30" s="66">
        <v>48579</v>
      </c>
      <c r="P30" s="66"/>
      <c r="Q30" s="66">
        <f t="shared" si="2"/>
        <v>48563</v>
      </c>
      <c r="R30" s="102">
        <f t="shared" si="3"/>
        <v>0</v>
      </c>
      <c r="S30" s="102">
        <f t="shared" si="4"/>
        <v>1667617.5</v>
      </c>
      <c r="T30" s="102">
        <f t="shared" si="5"/>
        <v>0</v>
      </c>
      <c r="U30" s="102">
        <f t="shared" si="6"/>
        <v>0</v>
      </c>
      <c r="V30" s="32">
        <f t="shared" si="7"/>
        <v>1667617.5</v>
      </c>
      <c r="X30" s="66">
        <v>48563</v>
      </c>
      <c r="Y30" s="102">
        <v>0</v>
      </c>
      <c r="Z30" s="71"/>
      <c r="AA30" s="102">
        <v>635250</v>
      </c>
      <c r="AB30" s="102">
        <v>0</v>
      </c>
      <c r="AC30" s="102">
        <v>0</v>
      </c>
      <c r="AD30" s="32">
        <f t="shared" si="1"/>
        <v>635250</v>
      </c>
      <c r="AF30" s="158">
        <v>48563</v>
      </c>
      <c r="AG30" s="102">
        <f t="shared" si="8"/>
        <v>0</v>
      </c>
      <c r="AH30" s="146"/>
      <c r="AI30" s="102">
        <f t="shared" si="8"/>
        <v>1032367.5</v>
      </c>
      <c r="AJ30" s="102">
        <f t="shared" si="8"/>
        <v>0</v>
      </c>
      <c r="AK30" s="102">
        <f t="shared" si="8"/>
        <v>0</v>
      </c>
      <c r="AL30" s="102">
        <f t="shared" si="9"/>
        <v>1032367.5</v>
      </c>
      <c r="AM30" s="111"/>
      <c r="AN30" s="158">
        <v>48563</v>
      </c>
      <c r="AO30" s="102">
        <v>0</v>
      </c>
      <c r="AP30" s="112">
        <v>5.2499999999999998E-2</v>
      </c>
      <c r="AQ30" s="32">
        <f t="shared" si="13"/>
        <v>432337.5</v>
      </c>
      <c r="AR30" s="102">
        <v>0</v>
      </c>
      <c r="AS30" s="102">
        <f t="shared" si="15"/>
        <v>0</v>
      </c>
      <c r="AT30" s="102">
        <f t="shared" si="10"/>
        <v>432337.5</v>
      </c>
      <c r="AU30" s="30"/>
      <c r="AV30" s="158">
        <v>48563</v>
      </c>
      <c r="AW30" s="102">
        <v>0</v>
      </c>
      <c r="AX30" s="112">
        <v>7.1999999999999995E-2</v>
      </c>
      <c r="AY30" s="102">
        <f t="shared" si="14"/>
        <v>600030</v>
      </c>
      <c r="AZ30" s="102">
        <v>0</v>
      </c>
      <c r="BA30" s="102">
        <f t="shared" si="16"/>
        <v>0</v>
      </c>
      <c r="BB30" s="102">
        <f t="shared" si="11"/>
        <v>600030</v>
      </c>
    </row>
    <row r="31" spans="1:54" ht="13.8" x14ac:dyDescent="0.3">
      <c r="A31" s="154"/>
      <c r="B31" s="66"/>
      <c r="C31" s="155"/>
      <c r="D31" s="32"/>
      <c r="F31" s="66">
        <v>48760</v>
      </c>
      <c r="G31" s="66"/>
      <c r="H31" s="115">
        <f t="shared" ref="H31" si="52">EDATE(H29,12)</f>
        <v>48745</v>
      </c>
      <c r="I31" s="102">
        <f t="shared" ref="I31" si="53">SUM(Y30:Y31)+SUM(AG30:AG31)</f>
        <v>4220000</v>
      </c>
      <c r="J31" s="102">
        <f t="shared" ref="J31" si="54">SUM(AA30:AA31)+SUM(AI30:AI31)</f>
        <v>3335235</v>
      </c>
      <c r="K31" s="102">
        <f t="shared" ref="K31" si="55">SUM(AB30:AB31)+SUM(AJ30:AJ31)</f>
        <v>0</v>
      </c>
      <c r="L31" s="102">
        <f>SUM(AC30:AC31)+SUM(AK30:AK31)</f>
        <v>0</v>
      </c>
      <c r="M31" s="32">
        <f t="shared" ref="M31" si="56">SUM(I31:L31)</f>
        <v>7555235</v>
      </c>
      <c r="O31" s="66">
        <v>48760</v>
      </c>
      <c r="P31" s="66"/>
      <c r="Q31" s="66">
        <f t="shared" si="2"/>
        <v>48745</v>
      </c>
      <c r="R31" s="102">
        <f t="shared" si="3"/>
        <v>4220000</v>
      </c>
      <c r="S31" s="102">
        <f t="shared" si="4"/>
        <v>1667617.5</v>
      </c>
      <c r="T31" s="102">
        <f t="shared" si="5"/>
        <v>0</v>
      </c>
      <c r="U31" s="102">
        <f t="shared" si="6"/>
        <v>0</v>
      </c>
      <c r="V31" s="32">
        <f t="shared" si="7"/>
        <v>5887617.5</v>
      </c>
      <c r="X31" s="66">
        <v>48745</v>
      </c>
      <c r="Y31" s="102">
        <v>2115000</v>
      </c>
      <c r="Z31" s="71">
        <v>5.2499999999999998E-2</v>
      </c>
      <c r="AA31" s="102">
        <v>635250</v>
      </c>
      <c r="AB31" s="102">
        <v>0</v>
      </c>
      <c r="AC31" s="102">
        <v>0</v>
      </c>
      <c r="AD31" s="32">
        <f t="shared" si="1"/>
        <v>2750250</v>
      </c>
      <c r="AF31" s="158">
        <v>48745</v>
      </c>
      <c r="AG31" s="102">
        <f t="shared" si="8"/>
        <v>2105000</v>
      </c>
      <c r="AH31" s="146"/>
      <c r="AI31" s="102">
        <f t="shared" si="8"/>
        <v>1032367.5</v>
      </c>
      <c r="AJ31" s="102">
        <f t="shared" si="8"/>
        <v>0</v>
      </c>
      <c r="AK31" s="102">
        <f t="shared" si="8"/>
        <v>0</v>
      </c>
      <c r="AL31" s="102">
        <f t="shared" si="9"/>
        <v>3137367.5</v>
      </c>
      <c r="AM31" s="111"/>
      <c r="AN31" s="158">
        <v>48745</v>
      </c>
      <c r="AO31" s="102">
        <v>0</v>
      </c>
      <c r="AP31" s="112">
        <v>5.2499999999999998E-2</v>
      </c>
      <c r="AQ31" s="32">
        <f t="shared" si="13"/>
        <v>432337.5</v>
      </c>
      <c r="AR31" s="102">
        <v>0</v>
      </c>
      <c r="AS31" s="102">
        <f t="shared" si="15"/>
        <v>0</v>
      </c>
      <c r="AT31" s="102">
        <f t="shared" si="10"/>
        <v>432337.5</v>
      </c>
      <c r="AU31" s="30"/>
      <c r="AV31" s="158">
        <v>48745</v>
      </c>
      <c r="AW31" s="102">
        <v>2105000</v>
      </c>
      <c r="AX31" s="112">
        <v>7.1999999999999995E-2</v>
      </c>
      <c r="AY31" s="102">
        <f t="shared" si="14"/>
        <v>600030</v>
      </c>
      <c r="AZ31" s="102">
        <v>0</v>
      </c>
      <c r="BA31" s="102">
        <f t="shared" si="16"/>
        <v>0</v>
      </c>
      <c r="BB31" s="102">
        <f t="shared" si="11"/>
        <v>2705030</v>
      </c>
    </row>
    <row r="32" spans="1:54" ht="13.8" x14ac:dyDescent="0.3">
      <c r="A32" s="154"/>
      <c r="B32" s="66"/>
      <c r="C32" s="155"/>
      <c r="D32" s="32"/>
      <c r="F32" s="66"/>
      <c r="G32" s="66"/>
      <c r="H32" s="115"/>
      <c r="I32" s="102"/>
      <c r="J32" s="102"/>
      <c r="K32" s="102"/>
      <c r="O32" s="66">
        <v>48944</v>
      </c>
      <c r="P32" s="66"/>
      <c r="Q32" s="66">
        <f t="shared" si="2"/>
        <v>48928</v>
      </c>
      <c r="R32" s="102">
        <f t="shared" si="3"/>
        <v>0</v>
      </c>
      <c r="S32" s="102">
        <f t="shared" si="4"/>
        <v>1536318.75</v>
      </c>
      <c r="T32" s="102">
        <f t="shared" si="5"/>
        <v>0</v>
      </c>
      <c r="U32" s="102">
        <f t="shared" si="6"/>
        <v>0</v>
      </c>
      <c r="V32" s="32">
        <f t="shared" si="7"/>
        <v>1536318.75</v>
      </c>
      <c r="X32" s="66">
        <v>48928</v>
      </c>
      <c r="Y32" s="102">
        <v>0</v>
      </c>
      <c r="Z32" s="71"/>
      <c r="AA32" s="102">
        <v>579731.25</v>
      </c>
      <c r="AB32" s="102">
        <v>0</v>
      </c>
      <c r="AC32" s="102">
        <v>0</v>
      </c>
      <c r="AD32" s="32">
        <f t="shared" si="1"/>
        <v>579731.25</v>
      </c>
      <c r="AF32" s="158">
        <v>48928</v>
      </c>
      <c r="AG32" s="102">
        <f t="shared" si="8"/>
        <v>0</v>
      </c>
      <c r="AH32" s="146"/>
      <c r="AI32" s="102">
        <f t="shared" si="8"/>
        <v>956587.5</v>
      </c>
      <c r="AJ32" s="102">
        <f t="shared" si="8"/>
        <v>0</v>
      </c>
      <c r="AK32" s="102">
        <f t="shared" si="8"/>
        <v>0</v>
      </c>
      <c r="AL32" s="102">
        <f t="shared" si="9"/>
        <v>956587.5</v>
      </c>
      <c r="AM32" s="111"/>
      <c r="AN32" s="158">
        <v>48928</v>
      </c>
      <c r="AO32" s="102">
        <v>0</v>
      </c>
      <c r="AP32" s="112">
        <v>5.2499999999999998E-2</v>
      </c>
      <c r="AQ32" s="32">
        <f t="shared" si="13"/>
        <v>432337.5</v>
      </c>
      <c r="AR32" s="102">
        <v>0</v>
      </c>
      <c r="AS32" s="102">
        <f t="shared" si="15"/>
        <v>0</v>
      </c>
      <c r="AT32" s="102">
        <f t="shared" si="10"/>
        <v>432337.5</v>
      </c>
      <c r="AU32" s="30"/>
      <c r="AV32" s="158">
        <v>48928</v>
      </c>
      <c r="AW32" s="102">
        <v>0</v>
      </c>
      <c r="AX32" s="112">
        <v>7.1999999999999995E-2</v>
      </c>
      <c r="AY32" s="102">
        <f t="shared" si="14"/>
        <v>524250</v>
      </c>
      <c r="AZ32" s="102">
        <v>0</v>
      </c>
      <c r="BA32" s="102">
        <f t="shared" si="16"/>
        <v>0</v>
      </c>
      <c r="BB32" s="102">
        <f t="shared" si="11"/>
        <v>524250</v>
      </c>
    </row>
    <row r="33" spans="1:54" ht="13.8" x14ac:dyDescent="0.3">
      <c r="A33" s="154"/>
      <c r="B33" s="66"/>
      <c r="C33" s="155"/>
      <c r="D33" s="32"/>
      <c r="F33" s="66">
        <v>49125</v>
      </c>
      <c r="G33" s="66"/>
      <c r="H33" s="115">
        <f t="shared" ref="H33" si="57">EDATE(H31,12)</f>
        <v>49110</v>
      </c>
      <c r="I33" s="102">
        <f t="shared" ref="I33" si="58">SUM(Y32:Y33)+SUM(AG32:AG33)</f>
        <v>4640000</v>
      </c>
      <c r="J33" s="102">
        <f t="shared" ref="J33" si="59">SUM(AA32:AA33)+SUM(AI32:AI33)</f>
        <v>3072637.5</v>
      </c>
      <c r="K33" s="102">
        <f t="shared" ref="K33" si="60">SUM(AB32:AB33)+SUM(AJ32:AJ33)</f>
        <v>0</v>
      </c>
      <c r="L33" s="102">
        <f>SUM(AC32:AC33)+SUM(AK32:AK33)</f>
        <v>0</v>
      </c>
      <c r="M33" s="32">
        <f t="shared" ref="M33" si="61">SUM(I33:L33)</f>
        <v>7712637.5</v>
      </c>
      <c r="O33" s="66">
        <v>49125</v>
      </c>
      <c r="P33" s="66"/>
      <c r="Q33" s="66">
        <f t="shared" si="2"/>
        <v>49110</v>
      </c>
      <c r="R33" s="102">
        <f t="shared" si="3"/>
        <v>4640000</v>
      </c>
      <c r="S33" s="102">
        <f t="shared" si="4"/>
        <v>1536318.75</v>
      </c>
      <c r="T33" s="102">
        <f t="shared" si="5"/>
        <v>0</v>
      </c>
      <c r="U33" s="102">
        <f t="shared" si="6"/>
        <v>0</v>
      </c>
      <c r="V33" s="32">
        <f t="shared" si="7"/>
        <v>6176318.75</v>
      </c>
      <c r="X33" s="66">
        <v>49110</v>
      </c>
      <c r="Y33" s="102">
        <v>2330000</v>
      </c>
      <c r="Z33" s="71">
        <v>5.2499999999999998E-2</v>
      </c>
      <c r="AA33" s="102">
        <v>579731.25</v>
      </c>
      <c r="AB33" s="102">
        <v>0</v>
      </c>
      <c r="AC33" s="102">
        <v>0</v>
      </c>
      <c r="AD33" s="32">
        <f t="shared" si="1"/>
        <v>2909731.25</v>
      </c>
      <c r="AF33" s="158">
        <v>49110</v>
      </c>
      <c r="AG33" s="102">
        <f t="shared" si="8"/>
        <v>2310000</v>
      </c>
      <c r="AH33" s="146"/>
      <c r="AI33" s="102">
        <f t="shared" si="8"/>
        <v>956587.5</v>
      </c>
      <c r="AJ33" s="102">
        <f t="shared" si="8"/>
        <v>0</v>
      </c>
      <c r="AK33" s="102">
        <f t="shared" si="8"/>
        <v>0</v>
      </c>
      <c r="AL33" s="102">
        <f t="shared" si="9"/>
        <v>3266587.5</v>
      </c>
      <c r="AM33" s="111"/>
      <c r="AN33" s="158">
        <v>49110</v>
      </c>
      <c r="AO33" s="102">
        <v>0</v>
      </c>
      <c r="AP33" s="112">
        <v>5.2499999999999998E-2</v>
      </c>
      <c r="AQ33" s="32">
        <f t="shared" si="13"/>
        <v>432337.5</v>
      </c>
      <c r="AR33" s="102">
        <v>0</v>
      </c>
      <c r="AS33" s="102">
        <f t="shared" si="15"/>
        <v>0</v>
      </c>
      <c r="AT33" s="102">
        <f t="shared" si="10"/>
        <v>432337.5</v>
      </c>
      <c r="AU33" s="30"/>
      <c r="AV33" s="158">
        <v>49110</v>
      </c>
      <c r="AW33" s="102">
        <v>2310000</v>
      </c>
      <c r="AX33" s="112">
        <v>7.4999999999999997E-2</v>
      </c>
      <c r="AY33" s="102">
        <f t="shared" si="14"/>
        <v>524250</v>
      </c>
      <c r="AZ33" s="102">
        <v>0</v>
      </c>
      <c r="BA33" s="102">
        <f t="shared" si="16"/>
        <v>0</v>
      </c>
      <c r="BB33" s="102">
        <f t="shared" si="11"/>
        <v>2834250</v>
      </c>
    </row>
    <row r="34" spans="1:54" ht="13.8" x14ac:dyDescent="0.3">
      <c r="A34" s="154"/>
      <c r="B34" s="66"/>
      <c r="C34" s="155"/>
      <c r="D34" s="32"/>
      <c r="F34" s="66"/>
      <c r="G34" s="66"/>
      <c r="H34" s="115"/>
      <c r="I34" s="102"/>
      <c r="J34" s="102"/>
      <c r="K34" s="102"/>
      <c r="O34" s="66">
        <v>49309</v>
      </c>
      <c r="P34" s="66"/>
      <c r="Q34" s="66">
        <f t="shared" si="2"/>
        <v>49293</v>
      </c>
      <c r="R34" s="102">
        <f t="shared" si="3"/>
        <v>0</v>
      </c>
      <c r="S34" s="102">
        <f t="shared" si="4"/>
        <v>1388531.25</v>
      </c>
      <c r="T34" s="102">
        <f t="shared" si="5"/>
        <v>0</v>
      </c>
      <c r="U34" s="102">
        <f t="shared" si="6"/>
        <v>0</v>
      </c>
      <c r="V34" s="32">
        <f t="shared" si="7"/>
        <v>1388531.25</v>
      </c>
      <c r="X34" s="66">
        <v>49293</v>
      </c>
      <c r="Y34" s="102">
        <v>0</v>
      </c>
      <c r="Z34" s="71"/>
      <c r="AA34" s="102">
        <v>518568.75</v>
      </c>
      <c r="AB34" s="102">
        <v>0</v>
      </c>
      <c r="AC34" s="102">
        <v>0</v>
      </c>
      <c r="AD34" s="32">
        <f t="shared" si="1"/>
        <v>518568.75</v>
      </c>
      <c r="AF34" s="158">
        <v>49293</v>
      </c>
      <c r="AG34" s="102">
        <f t="shared" si="8"/>
        <v>0</v>
      </c>
      <c r="AH34" s="146"/>
      <c r="AI34" s="102">
        <f t="shared" si="8"/>
        <v>869962.5</v>
      </c>
      <c r="AJ34" s="102">
        <f t="shared" si="8"/>
        <v>0</v>
      </c>
      <c r="AK34" s="102">
        <f t="shared" si="8"/>
        <v>0</v>
      </c>
      <c r="AL34" s="102">
        <f t="shared" si="9"/>
        <v>869962.5</v>
      </c>
      <c r="AM34" s="111"/>
      <c r="AN34" s="158">
        <v>49293</v>
      </c>
      <c r="AO34" s="102">
        <v>0</v>
      </c>
      <c r="AP34" s="112">
        <v>5.2499999999999998E-2</v>
      </c>
      <c r="AQ34" s="32">
        <f t="shared" si="13"/>
        <v>432337.5</v>
      </c>
      <c r="AR34" s="102">
        <v>0</v>
      </c>
      <c r="AS34" s="102">
        <f t="shared" si="15"/>
        <v>0</v>
      </c>
      <c r="AT34" s="102">
        <f t="shared" si="10"/>
        <v>432337.5</v>
      </c>
      <c r="AU34" s="30"/>
      <c r="AV34" s="158">
        <v>49293</v>
      </c>
      <c r="AW34" s="102">
        <v>0</v>
      </c>
      <c r="AX34" s="112">
        <v>7.4999999999999997E-2</v>
      </c>
      <c r="AY34" s="102">
        <f t="shared" si="14"/>
        <v>437625</v>
      </c>
      <c r="AZ34" s="102">
        <v>0</v>
      </c>
      <c r="BA34" s="102">
        <f t="shared" si="16"/>
        <v>0</v>
      </c>
      <c r="BB34" s="102">
        <f t="shared" si="11"/>
        <v>437625</v>
      </c>
    </row>
    <row r="35" spans="1:54" ht="13.8" x14ac:dyDescent="0.3">
      <c r="A35" s="154"/>
      <c r="B35" s="66"/>
      <c r="C35" s="155"/>
      <c r="D35" s="32"/>
      <c r="F35" s="66">
        <v>49490</v>
      </c>
      <c r="G35" s="66"/>
      <c r="H35" s="115">
        <f t="shared" ref="H35" si="62">EDATE(H33,12)</f>
        <v>49475</v>
      </c>
      <c r="I35" s="102">
        <f t="shared" ref="I35" si="63">SUM(Y34:Y35)+SUM(AG34:AG35)</f>
        <v>5090000</v>
      </c>
      <c r="J35" s="102">
        <f t="shared" ref="J35" si="64">SUM(AA34:AA35)+SUM(AI34:AI35)</f>
        <v>2777062.5</v>
      </c>
      <c r="K35" s="102">
        <f t="shared" ref="K35" si="65">SUM(AB34:AB35)+SUM(AJ34:AJ35)</f>
        <v>0</v>
      </c>
      <c r="L35" s="102">
        <f>SUM(AC34:AC35)+SUM(AK34:AK35)</f>
        <v>0</v>
      </c>
      <c r="M35" s="32">
        <f t="shared" ref="M35" si="66">SUM(I35:L35)</f>
        <v>7867062.5</v>
      </c>
      <c r="O35" s="66">
        <v>49490</v>
      </c>
      <c r="P35" s="66"/>
      <c r="Q35" s="66">
        <f t="shared" si="2"/>
        <v>49475</v>
      </c>
      <c r="R35" s="102">
        <f t="shared" si="3"/>
        <v>5090000</v>
      </c>
      <c r="S35" s="102">
        <f t="shared" si="4"/>
        <v>1388531.25</v>
      </c>
      <c r="T35" s="102">
        <f t="shared" si="5"/>
        <v>0</v>
      </c>
      <c r="U35" s="102">
        <f t="shared" si="6"/>
        <v>0</v>
      </c>
      <c r="V35" s="32">
        <f t="shared" si="7"/>
        <v>6478531.25</v>
      </c>
      <c r="X35" s="66">
        <v>49475</v>
      </c>
      <c r="Y35" s="102">
        <v>2555000</v>
      </c>
      <c r="Z35" s="71">
        <v>5.2499999999999998E-2</v>
      </c>
      <c r="AA35" s="102">
        <v>518568.75</v>
      </c>
      <c r="AB35" s="102">
        <v>0</v>
      </c>
      <c r="AC35" s="102">
        <v>0</v>
      </c>
      <c r="AD35" s="32">
        <f t="shared" si="1"/>
        <v>3073568.75</v>
      </c>
      <c r="AF35" s="158">
        <v>49475</v>
      </c>
      <c r="AG35" s="102">
        <f t="shared" si="8"/>
        <v>2535000</v>
      </c>
      <c r="AH35" s="146"/>
      <c r="AI35" s="102">
        <f t="shared" si="8"/>
        <v>869962.5</v>
      </c>
      <c r="AJ35" s="102">
        <f t="shared" si="8"/>
        <v>0</v>
      </c>
      <c r="AK35" s="102">
        <f t="shared" si="8"/>
        <v>0</v>
      </c>
      <c r="AL35" s="102">
        <f t="shared" si="9"/>
        <v>3404962.5</v>
      </c>
      <c r="AM35" s="111"/>
      <c r="AN35" s="158">
        <v>49475</v>
      </c>
      <c r="AO35" s="102">
        <v>0</v>
      </c>
      <c r="AP35" s="112">
        <v>5.2499999999999998E-2</v>
      </c>
      <c r="AQ35" s="32">
        <f t="shared" si="13"/>
        <v>432337.5</v>
      </c>
      <c r="AR35" s="102">
        <v>0</v>
      </c>
      <c r="AS35" s="102">
        <f t="shared" si="15"/>
        <v>0</v>
      </c>
      <c r="AT35" s="102">
        <f t="shared" si="10"/>
        <v>432337.5</v>
      </c>
      <c r="AU35" s="30"/>
      <c r="AV35" s="158">
        <v>49475</v>
      </c>
      <c r="AW35" s="102">
        <v>2535000</v>
      </c>
      <c r="AX35" s="112">
        <v>7.4999999999999997E-2</v>
      </c>
      <c r="AY35" s="102">
        <f t="shared" si="14"/>
        <v>437625</v>
      </c>
      <c r="AZ35" s="102">
        <v>0</v>
      </c>
      <c r="BA35" s="102">
        <f t="shared" si="16"/>
        <v>0</v>
      </c>
      <c r="BB35" s="102">
        <f t="shared" si="11"/>
        <v>2972625</v>
      </c>
    </row>
    <row r="36" spans="1:54" ht="13.8" x14ac:dyDescent="0.3">
      <c r="A36" s="154"/>
      <c r="B36" s="66"/>
      <c r="C36" s="155"/>
      <c r="D36" s="32"/>
      <c r="F36" s="66"/>
      <c r="G36" s="66"/>
      <c r="H36" s="115"/>
      <c r="I36" s="102"/>
      <c r="J36" s="102"/>
      <c r="K36" s="102"/>
      <c r="O36" s="66">
        <v>49674</v>
      </c>
      <c r="P36" s="66"/>
      <c r="Q36" s="66">
        <f t="shared" si="2"/>
        <v>49658</v>
      </c>
      <c r="R36" s="102">
        <f t="shared" si="3"/>
        <v>0</v>
      </c>
      <c r="S36" s="102">
        <f t="shared" si="4"/>
        <v>1226400</v>
      </c>
      <c r="T36" s="102">
        <f t="shared" si="5"/>
        <v>0</v>
      </c>
      <c r="U36" s="102">
        <f t="shared" si="6"/>
        <v>0</v>
      </c>
      <c r="V36" s="32">
        <f t="shared" si="7"/>
        <v>1226400</v>
      </c>
      <c r="X36" s="66">
        <v>49658</v>
      </c>
      <c r="Y36" s="102">
        <v>0</v>
      </c>
      <c r="Z36" s="71"/>
      <c r="AA36" s="102">
        <v>451500</v>
      </c>
      <c r="AB36" s="102">
        <v>0</v>
      </c>
      <c r="AC36" s="102">
        <v>0</v>
      </c>
      <c r="AD36" s="32">
        <f t="shared" si="1"/>
        <v>451500</v>
      </c>
      <c r="AF36" s="158">
        <v>49658</v>
      </c>
      <c r="AG36" s="102">
        <f t="shared" si="8"/>
        <v>0</v>
      </c>
      <c r="AH36" s="146"/>
      <c r="AI36" s="102">
        <f t="shared" si="8"/>
        <v>774900</v>
      </c>
      <c r="AJ36" s="102">
        <f t="shared" si="8"/>
        <v>0</v>
      </c>
      <c r="AK36" s="102">
        <f t="shared" si="8"/>
        <v>0</v>
      </c>
      <c r="AL36" s="102">
        <f t="shared" si="9"/>
        <v>774900</v>
      </c>
      <c r="AM36" s="111"/>
      <c r="AN36" s="158">
        <v>49658</v>
      </c>
      <c r="AO36" s="102">
        <v>0</v>
      </c>
      <c r="AP36" s="112">
        <v>5.2499999999999998E-2</v>
      </c>
      <c r="AQ36" s="32">
        <f t="shared" si="13"/>
        <v>432337.5</v>
      </c>
      <c r="AR36" s="102">
        <v>0</v>
      </c>
      <c r="AS36" s="102">
        <f t="shared" si="15"/>
        <v>0</v>
      </c>
      <c r="AT36" s="102">
        <f t="shared" si="10"/>
        <v>432337.5</v>
      </c>
      <c r="AU36" s="30"/>
      <c r="AV36" s="158">
        <v>49658</v>
      </c>
      <c r="AW36" s="102">
        <v>0</v>
      </c>
      <c r="AX36" s="112">
        <v>7.4999999999999997E-2</v>
      </c>
      <c r="AY36" s="102">
        <f t="shared" si="14"/>
        <v>342562.5</v>
      </c>
      <c r="AZ36" s="102">
        <v>0</v>
      </c>
      <c r="BA36" s="102">
        <f t="shared" si="16"/>
        <v>0</v>
      </c>
      <c r="BB36" s="102">
        <f t="shared" si="11"/>
        <v>342562.5</v>
      </c>
    </row>
    <row r="37" spans="1:54" ht="13.8" x14ac:dyDescent="0.3">
      <c r="A37" s="154"/>
      <c r="B37" s="66"/>
      <c r="C37" s="155"/>
      <c r="D37" s="32"/>
      <c r="F37" s="66">
        <v>49856</v>
      </c>
      <c r="G37" s="66"/>
      <c r="H37" s="115">
        <f t="shared" ref="H37" si="67">EDATE(H35,12)</f>
        <v>49841</v>
      </c>
      <c r="I37" s="102">
        <f t="shared" ref="I37" si="68">SUM(Y36:Y37)+SUM(AG36:AG37)</f>
        <v>5570000</v>
      </c>
      <c r="J37" s="102">
        <f t="shared" ref="J37" si="69">SUM(AA36:AA37)+SUM(AI36:AI37)</f>
        <v>2452800</v>
      </c>
      <c r="K37" s="102">
        <f t="shared" ref="K37" si="70">SUM(AB36:AB37)+SUM(AJ36:AJ37)</f>
        <v>0</v>
      </c>
      <c r="L37" s="102">
        <f>SUM(AC36:AC37)+SUM(AK36:AK37)</f>
        <v>0</v>
      </c>
      <c r="M37" s="32">
        <f t="shared" ref="M37" si="71">SUM(I37:L37)</f>
        <v>8022800</v>
      </c>
      <c r="O37" s="66">
        <v>49856</v>
      </c>
      <c r="P37" s="66"/>
      <c r="Q37" s="66">
        <f t="shared" si="2"/>
        <v>49841</v>
      </c>
      <c r="R37" s="102">
        <f t="shared" si="3"/>
        <v>5570000</v>
      </c>
      <c r="S37" s="102">
        <f t="shared" si="4"/>
        <v>1226400</v>
      </c>
      <c r="T37" s="102">
        <f t="shared" si="5"/>
        <v>0</v>
      </c>
      <c r="U37" s="102">
        <f t="shared" si="6"/>
        <v>0</v>
      </c>
      <c r="V37" s="32">
        <f t="shared" si="7"/>
        <v>6796400</v>
      </c>
      <c r="X37" s="66">
        <v>49841</v>
      </c>
      <c r="Y37" s="102">
        <v>2795000</v>
      </c>
      <c r="Z37" s="71">
        <v>5.2499999999999998E-2</v>
      </c>
      <c r="AA37" s="102">
        <v>451500</v>
      </c>
      <c r="AB37" s="102">
        <v>0</v>
      </c>
      <c r="AC37" s="102">
        <v>0</v>
      </c>
      <c r="AD37" s="32">
        <f t="shared" si="1"/>
        <v>3246500</v>
      </c>
      <c r="AF37" s="158">
        <v>49841</v>
      </c>
      <c r="AG37" s="102">
        <f t="shared" si="8"/>
        <v>2775000</v>
      </c>
      <c r="AH37" s="146"/>
      <c r="AI37" s="102">
        <f t="shared" si="8"/>
        <v>774900</v>
      </c>
      <c r="AJ37" s="102">
        <f t="shared" si="8"/>
        <v>0</v>
      </c>
      <c r="AK37" s="102">
        <f t="shared" si="8"/>
        <v>0</v>
      </c>
      <c r="AL37" s="102">
        <f t="shared" si="9"/>
        <v>3549900</v>
      </c>
      <c r="AM37" s="111"/>
      <c r="AN37" s="158">
        <v>49841</v>
      </c>
      <c r="AO37" s="102">
        <v>0</v>
      </c>
      <c r="AP37" s="112">
        <v>5.2499999999999998E-2</v>
      </c>
      <c r="AQ37" s="32">
        <f t="shared" si="13"/>
        <v>432337.5</v>
      </c>
      <c r="AR37" s="102">
        <v>0</v>
      </c>
      <c r="AS37" s="102">
        <f t="shared" si="15"/>
        <v>0</v>
      </c>
      <c r="AT37" s="102">
        <f t="shared" si="10"/>
        <v>432337.5</v>
      </c>
      <c r="AU37" s="30"/>
      <c r="AV37" s="158">
        <v>49841</v>
      </c>
      <c r="AW37" s="102">
        <v>2775000</v>
      </c>
      <c r="AX37" s="112">
        <v>7.4999999999999997E-2</v>
      </c>
      <c r="AY37" s="102">
        <f t="shared" si="14"/>
        <v>342562.5</v>
      </c>
      <c r="AZ37" s="102">
        <v>0</v>
      </c>
      <c r="BA37" s="102">
        <f t="shared" si="16"/>
        <v>0</v>
      </c>
      <c r="BB37" s="102">
        <f t="shared" si="11"/>
        <v>3117562.5</v>
      </c>
    </row>
    <row r="38" spans="1:54" ht="13.8" x14ac:dyDescent="0.3">
      <c r="A38" s="154"/>
      <c r="B38" s="66"/>
      <c r="C38" s="155"/>
      <c r="D38" s="32"/>
      <c r="F38" s="66"/>
      <c r="G38" s="66"/>
      <c r="H38" s="115"/>
      <c r="I38" s="102"/>
      <c r="J38" s="102"/>
      <c r="K38" s="102"/>
      <c r="O38" s="66">
        <v>50040</v>
      </c>
      <c r="P38" s="66"/>
      <c r="Q38" s="66">
        <f t="shared" si="2"/>
        <v>50024</v>
      </c>
      <c r="R38" s="102">
        <f t="shared" si="3"/>
        <v>0</v>
      </c>
      <c r="S38" s="102">
        <f t="shared" si="4"/>
        <v>1048968.75</v>
      </c>
      <c r="T38" s="102">
        <f t="shared" si="5"/>
        <v>0</v>
      </c>
      <c r="U38" s="102">
        <f t="shared" si="6"/>
        <v>0</v>
      </c>
      <c r="V38" s="32">
        <f t="shared" si="7"/>
        <v>1048968.75</v>
      </c>
      <c r="X38" s="66">
        <v>50024</v>
      </c>
      <c r="Y38" s="102">
        <v>0</v>
      </c>
      <c r="Z38" s="71"/>
      <c r="AA38" s="102">
        <v>378131.25</v>
      </c>
      <c r="AB38" s="102">
        <v>0</v>
      </c>
      <c r="AC38" s="102">
        <v>0</v>
      </c>
      <c r="AD38" s="32">
        <f t="shared" si="1"/>
        <v>378131.25</v>
      </c>
      <c r="AF38" s="158">
        <v>50024</v>
      </c>
      <c r="AG38" s="102">
        <f t="shared" si="8"/>
        <v>0</v>
      </c>
      <c r="AH38" s="146"/>
      <c r="AI38" s="102">
        <f t="shared" si="8"/>
        <v>670837.5</v>
      </c>
      <c r="AJ38" s="102">
        <f t="shared" si="8"/>
        <v>0</v>
      </c>
      <c r="AK38" s="102">
        <f t="shared" si="8"/>
        <v>0</v>
      </c>
      <c r="AL38" s="102">
        <f t="shared" si="9"/>
        <v>670837.5</v>
      </c>
      <c r="AM38" s="111"/>
      <c r="AN38" s="158">
        <v>50024</v>
      </c>
      <c r="AO38" s="102">
        <v>0</v>
      </c>
      <c r="AP38" s="112">
        <v>5.2499999999999998E-2</v>
      </c>
      <c r="AQ38" s="32">
        <f t="shared" si="13"/>
        <v>432337.5</v>
      </c>
      <c r="AR38" s="102">
        <v>0</v>
      </c>
      <c r="AS38" s="102">
        <f t="shared" si="15"/>
        <v>0</v>
      </c>
      <c r="AT38" s="102">
        <f t="shared" si="10"/>
        <v>432337.5</v>
      </c>
      <c r="AU38" s="30"/>
      <c r="AV38" s="158">
        <v>50024</v>
      </c>
      <c r="AW38" s="102">
        <v>0</v>
      </c>
      <c r="AX38" s="112">
        <v>7.4999999999999997E-2</v>
      </c>
      <c r="AY38" s="102">
        <f t="shared" si="14"/>
        <v>238500</v>
      </c>
      <c r="AZ38" s="102">
        <v>0</v>
      </c>
      <c r="BA38" s="102">
        <f t="shared" si="16"/>
        <v>0</v>
      </c>
      <c r="BB38" s="102">
        <f t="shared" si="11"/>
        <v>238500</v>
      </c>
    </row>
    <row r="39" spans="1:54" ht="13.8" x14ac:dyDescent="0.3">
      <c r="A39" s="154"/>
      <c r="B39" s="66"/>
      <c r="C39" s="155"/>
      <c r="D39" s="32"/>
      <c r="F39" s="66">
        <v>50221</v>
      </c>
      <c r="G39" s="66"/>
      <c r="H39" s="115">
        <f t="shared" ref="H39" si="72">EDATE(H37,12)</f>
        <v>50206</v>
      </c>
      <c r="I39" s="102">
        <f t="shared" ref="I39" si="73">SUM(Y38:Y39)+SUM(AG38:AG39)</f>
        <v>6095000</v>
      </c>
      <c r="J39" s="102">
        <f t="shared" ref="J39" si="74">SUM(AA38:AA39)+SUM(AI38:AI39)</f>
        <v>2097937.5</v>
      </c>
      <c r="K39" s="102">
        <f t="shared" ref="K39" si="75">SUM(AB38:AB39)+SUM(AJ38:AJ39)</f>
        <v>0</v>
      </c>
      <c r="L39" s="102">
        <f>SUM(AC38:AC39)+SUM(AK38:AK39)</f>
        <v>0</v>
      </c>
      <c r="M39" s="32">
        <f t="shared" ref="M39" si="76">SUM(I39:L39)</f>
        <v>8192937.5</v>
      </c>
      <c r="O39" s="66">
        <v>50221</v>
      </c>
      <c r="P39" s="66"/>
      <c r="Q39" s="66">
        <f t="shared" si="2"/>
        <v>50206</v>
      </c>
      <c r="R39" s="102">
        <f t="shared" si="3"/>
        <v>6095000</v>
      </c>
      <c r="S39" s="102">
        <f t="shared" si="4"/>
        <v>1048968.75</v>
      </c>
      <c r="T39" s="102">
        <f t="shared" si="5"/>
        <v>0</v>
      </c>
      <c r="U39" s="102">
        <f t="shared" si="6"/>
        <v>0</v>
      </c>
      <c r="V39" s="32">
        <f t="shared" si="7"/>
        <v>7143968.75</v>
      </c>
      <c r="X39" s="66">
        <v>50206</v>
      </c>
      <c r="Y39" s="102">
        <v>3055000</v>
      </c>
      <c r="Z39" s="71">
        <v>5.2499999999999998E-2</v>
      </c>
      <c r="AA39" s="102">
        <v>378131.25</v>
      </c>
      <c r="AB39" s="102">
        <v>0</v>
      </c>
      <c r="AC39" s="102">
        <v>0</v>
      </c>
      <c r="AD39" s="32">
        <f t="shared" si="1"/>
        <v>3433131.25</v>
      </c>
      <c r="AF39" s="158">
        <v>50206</v>
      </c>
      <c r="AG39" s="102">
        <f t="shared" si="8"/>
        <v>3040000</v>
      </c>
      <c r="AH39" s="146"/>
      <c r="AI39" s="102">
        <f t="shared" si="8"/>
        <v>670837.5</v>
      </c>
      <c r="AJ39" s="102">
        <f t="shared" si="8"/>
        <v>0</v>
      </c>
      <c r="AK39" s="102">
        <f t="shared" si="8"/>
        <v>0</v>
      </c>
      <c r="AL39" s="102">
        <f t="shared" si="9"/>
        <v>3710837.5</v>
      </c>
      <c r="AM39" s="111"/>
      <c r="AN39" s="158">
        <v>50206</v>
      </c>
      <c r="AO39" s="102">
        <v>0</v>
      </c>
      <c r="AP39" s="112">
        <v>5.2499999999999998E-2</v>
      </c>
      <c r="AQ39" s="32">
        <f t="shared" si="13"/>
        <v>432337.5</v>
      </c>
      <c r="AR39" s="102">
        <v>0</v>
      </c>
      <c r="AS39" s="102">
        <f t="shared" si="15"/>
        <v>0</v>
      </c>
      <c r="AT39" s="102">
        <f t="shared" si="10"/>
        <v>432337.5</v>
      </c>
      <c r="AU39" s="30"/>
      <c r="AV39" s="158">
        <v>50206</v>
      </c>
      <c r="AW39" s="102">
        <v>3040000</v>
      </c>
      <c r="AX39" s="112">
        <v>7.4999999999999997E-2</v>
      </c>
      <c r="AY39" s="102">
        <f t="shared" si="14"/>
        <v>238500</v>
      </c>
      <c r="AZ39" s="102">
        <v>0</v>
      </c>
      <c r="BA39" s="102">
        <f t="shared" si="16"/>
        <v>0</v>
      </c>
      <c r="BB39" s="102">
        <f t="shared" si="11"/>
        <v>3278500</v>
      </c>
    </row>
    <row r="40" spans="1:54" ht="13.8" x14ac:dyDescent="0.3">
      <c r="A40" s="154"/>
      <c r="B40" s="66"/>
      <c r="C40" s="155"/>
      <c r="D40" s="32"/>
      <c r="F40" s="66"/>
      <c r="G40" s="66"/>
      <c r="H40" s="115"/>
      <c r="I40" s="102"/>
      <c r="J40" s="102"/>
      <c r="K40" s="102"/>
      <c r="O40" s="66">
        <v>50405</v>
      </c>
      <c r="P40" s="66"/>
      <c r="Q40" s="66">
        <f t="shared" si="2"/>
        <v>50389</v>
      </c>
      <c r="R40" s="102">
        <f t="shared" si="3"/>
        <v>0</v>
      </c>
      <c r="S40" s="102">
        <f t="shared" si="4"/>
        <v>854775</v>
      </c>
      <c r="T40" s="102">
        <f t="shared" si="5"/>
        <v>0</v>
      </c>
      <c r="U40" s="102">
        <f t="shared" si="6"/>
        <v>0</v>
      </c>
      <c r="V40" s="32">
        <f t="shared" si="7"/>
        <v>854775</v>
      </c>
      <c r="X40" s="66">
        <v>50389</v>
      </c>
      <c r="Y40" s="102">
        <v>0</v>
      </c>
      <c r="Z40" s="71"/>
      <c r="AA40" s="102">
        <v>297937.5</v>
      </c>
      <c r="AB40" s="102">
        <v>0</v>
      </c>
      <c r="AC40" s="102">
        <v>0</v>
      </c>
      <c r="AD40" s="32">
        <f t="shared" si="1"/>
        <v>297937.5</v>
      </c>
      <c r="AF40" s="158">
        <v>50389</v>
      </c>
      <c r="AG40" s="102">
        <f t="shared" si="8"/>
        <v>0</v>
      </c>
      <c r="AH40" s="146"/>
      <c r="AI40" s="102">
        <f t="shared" si="8"/>
        <v>556837.5</v>
      </c>
      <c r="AJ40" s="102">
        <f t="shared" si="8"/>
        <v>0</v>
      </c>
      <c r="AK40" s="102">
        <f t="shared" si="8"/>
        <v>0</v>
      </c>
      <c r="AL40" s="102">
        <f t="shared" si="9"/>
        <v>556837.5</v>
      </c>
      <c r="AM40" s="111"/>
      <c r="AN40" s="158">
        <v>50389</v>
      </c>
      <c r="AO40" s="102">
        <v>0</v>
      </c>
      <c r="AP40" s="112">
        <v>5.2499999999999998E-2</v>
      </c>
      <c r="AQ40" s="32">
        <f t="shared" si="13"/>
        <v>432337.5</v>
      </c>
      <c r="AR40" s="102">
        <v>0</v>
      </c>
      <c r="AS40" s="102">
        <f t="shared" si="15"/>
        <v>0</v>
      </c>
      <c r="AT40" s="102">
        <f t="shared" si="10"/>
        <v>432337.5</v>
      </c>
      <c r="AU40" s="30"/>
      <c r="AV40" s="158">
        <v>50389</v>
      </c>
      <c r="AW40" s="102">
        <v>0</v>
      </c>
      <c r="AX40" s="112">
        <v>7.4999999999999997E-2</v>
      </c>
      <c r="AY40" s="102">
        <f t="shared" si="14"/>
        <v>124500</v>
      </c>
      <c r="AZ40" s="102">
        <v>0</v>
      </c>
      <c r="BA40" s="102">
        <f t="shared" si="16"/>
        <v>0</v>
      </c>
      <c r="BB40" s="102">
        <f t="shared" si="11"/>
        <v>124500</v>
      </c>
    </row>
    <row r="41" spans="1:54" ht="13.8" x14ac:dyDescent="0.3">
      <c r="A41" s="154"/>
      <c r="B41" s="66"/>
      <c r="C41" s="155"/>
      <c r="D41" s="32"/>
      <c r="F41" s="66">
        <v>50586</v>
      </c>
      <c r="G41" s="66"/>
      <c r="H41" s="115">
        <f t="shared" ref="H41" si="77">EDATE(H39,12)</f>
        <v>50571</v>
      </c>
      <c r="I41" s="102">
        <f t="shared" ref="I41" si="78">SUM(Y40:Y41)+SUM(AG40:AG41)</f>
        <v>6650000</v>
      </c>
      <c r="J41" s="102">
        <f t="shared" ref="J41" si="79">SUM(AA40:AA41)+SUM(AI40:AI41)</f>
        <v>1709550</v>
      </c>
      <c r="K41" s="102">
        <f t="shared" ref="K41" si="80">SUM(AB40:AB41)+SUM(AJ40:AJ41)</f>
        <v>0</v>
      </c>
      <c r="L41" s="102">
        <f>SUM(AC40:AC41)+SUM(AK40:AK41)</f>
        <v>0</v>
      </c>
      <c r="M41" s="32">
        <f t="shared" ref="M41" si="81">SUM(I41:L41)</f>
        <v>8359550</v>
      </c>
      <c r="O41" s="66">
        <v>50586</v>
      </c>
      <c r="P41" s="66"/>
      <c r="Q41" s="66">
        <f t="shared" si="2"/>
        <v>50571</v>
      </c>
      <c r="R41" s="102">
        <f t="shared" si="3"/>
        <v>6650000</v>
      </c>
      <c r="S41" s="102">
        <f t="shared" si="4"/>
        <v>854775</v>
      </c>
      <c r="T41" s="102">
        <f t="shared" si="5"/>
        <v>0</v>
      </c>
      <c r="U41" s="102">
        <f t="shared" si="6"/>
        <v>0</v>
      </c>
      <c r="V41" s="32">
        <f t="shared" si="7"/>
        <v>7504775</v>
      </c>
      <c r="X41" s="66">
        <v>50571</v>
      </c>
      <c r="Y41" s="102">
        <v>3330000</v>
      </c>
      <c r="Z41" s="71">
        <v>5.2499999999999998E-2</v>
      </c>
      <c r="AA41" s="102">
        <v>297937.5</v>
      </c>
      <c r="AB41" s="102">
        <v>0</v>
      </c>
      <c r="AC41" s="102">
        <v>0</v>
      </c>
      <c r="AD41" s="32">
        <f t="shared" si="1"/>
        <v>3627937.5</v>
      </c>
      <c r="AF41" s="158">
        <v>50571</v>
      </c>
      <c r="AG41" s="102">
        <f t="shared" si="8"/>
        <v>3320000</v>
      </c>
      <c r="AH41" s="146"/>
      <c r="AI41" s="102">
        <f t="shared" si="8"/>
        <v>556837.5</v>
      </c>
      <c r="AJ41" s="102">
        <f t="shared" si="8"/>
        <v>0</v>
      </c>
      <c r="AK41" s="102">
        <f t="shared" si="8"/>
        <v>0</v>
      </c>
      <c r="AL41" s="102">
        <f t="shared" si="9"/>
        <v>3876837.5</v>
      </c>
      <c r="AM41" s="111"/>
      <c r="AN41" s="158">
        <v>50571</v>
      </c>
      <c r="AO41" s="102">
        <v>0</v>
      </c>
      <c r="AP41" s="112">
        <v>5.2499999999999998E-2</v>
      </c>
      <c r="AQ41" s="32">
        <f t="shared" si="13"/>
        <v>432337.5</v>
      </c>
      <c r="AR41" s="102">
        <v>0</v>
      </c>
      <c r="AS41" s="102">
        <f t="shared" si="15"/>
        <v>0</v>
      </c>
      <c r="AT41" s="102">
        <f t="shared" si="10"/>
        <v>432337.5</v>
      </c>
      <c r="AU41" s="30"/>
      <c r="AV41" s="158">
        <v>50571</v>
      </c>
      <c r="AW41" s="102">
        <v>3320000</v>
      </c>
      <c r="AX41" s="112">
        <v>7.4999999999999997E-2</v>
      </c>
      <c r="AY41" s="102">
        <f t="shared" si="14"/>
        <v>124500</v>
      </c>
      <c r="AZ41" s="102">
        <v>0</v>
      </c>
      <c r="BA41" s="102">
        <f t="shared" si="16"/>
        <v>0</v>
      </c>
      <c r="BB41" s="102">
        <f t="shared" si="11"/>
        <v>3444500</v>
      </c>
    </row>
    <row r="42" spans="1:54" ht="13.8" x14ac:dyDescent="0.3">
      <c r="A42" s="154"/>
      <c r="B42" s="66"/>
      <c r="C42" s="155"/>
      <c r="D42" s="32"/>
      <c r="F42" s="66"/>
      <c r="G42" s="66"/>
      <c r="H42" s="115"/>
      <c r="I42" s="102"/>
      <c r="J42" s="102"/>
      <c r="K42" s="102"/>
      <c r="O42" s="66">
        <v>50770</v>
      </c>
      <c r="P42" s="66"/>
      <c r="Q42" s="66">
        <f t="shared" si="2"/>
        <v>50754</v>
      </c>
      <c r="R42" s="102">
        <f t="shared" si="3"/>
        <v>0</v>
      </c>
      <c r="S42" s="102">
        <f t="shared" si="4"/>
        <v>642862.5</v>
      </c>
      <c r="T42" s="102">
        <f t="shared" si="5"/>
        <v>0</v>
      </c>
      <c r="U42" s="102">
        <f t="shared" si="6"/>
        <v>0</v>
      </c>
      <c r="V42" s="32">
        <f t="shared" si="7"/>
        <v>642862.5</v>
      </c>
      <c r="X42" s="66">
        <v>50754</v>
      </c>
      <c r="Y42" s="102">
        <v>0</v>
      </c>
      <c r="Z42" s="71"/>
      <c r="AA42" s="102">
        <v>210525</v>
      </c>
      <c r="AB42" s="102">
        <v>0</v>
      </c>
      <c r="AC42" s="102">
        <v>0</v>
      </c>
      <c r="AD42" s="32">
        <f t="shared" si="1"/>
        <v>210525</v>
      </c>
      <c r="AF42" s="158">
        <v>50754</v>
      </c>
      <c r="AG42" s="102">
        <f t="shared" si="8"/>
        <v>0</v>
      </c>
      <c r="AH42" s="146"/>
      <c r="AI42" s="102">
        <f t="shared" si="8"/>
        <v>432337.5</v>
      </c>
      <c r="AJ42" s="102">
        <f t="shared" si="8"/>
        <v>0</v>
      </c>
      <c r="AK42" s="102">
        <f t="shared" si="8"/>
        <v>0</v>
      </c>
      <c r="AL42" s="102">
        <f t="shared" si="9"/>
        <v>432337.5</v>
      </c>
      <c r="AM42" s="111"/>
      <c r="AN42" s="158">
        <v>50754</v>
      </c>
      <c r="AO42" s="102">
        <v>0</v>
      </c>
      <c r="AP42" s="112">
        <v>5.2499999999999998E-2</v>
      </c>
      <c r="AQ42" s="32">
        <f t="shared" si="13"/>
        <v>432337.5</v>
      </c>
      <c r="AR42" s="102">
        <v>0</v>
      </c>
      <c r="AS42" s="102">
        <f t="shared" si="15"/>
        <v>0</v>
      </c>
      <c r="AT42" s="102">
        <f t="shared" si="10"/>
        <v>432337.5</v>
      </c>
      <c r="AU42" s="30"/>
      <c r="AV42" s="158">
        <v>50754</v>
      </c>
      <c r="AW42" s="102">
        <v>0</v>
      </c>
      <c r="AX42" s="112">
        <v>7.4999999999999997E-2</v>
      </c>
      <c r="AY42" s="102">
        <f t="shared" si="14"/>
        <v>0</v>
      </c>
      <c r="AZ42" s="102">
        <v>0</v>
      </c>
      <c r="BA42" s="102">
        <f t="shared" si="16"/>
        <v>0</v>
      </c>
      <c r="BB42" s="102">
        <f t="shared" si="11"/>
        <v>0</v>
      </c>
    </row>
    <row r="43" spans="1:54" ht="13.8" x14ac:dyDescent="0.3">
      <c r="A43" s="154"/>
      <c r="B43" s="66"/>
      <c r="C43" s="155"/>
      <c r="D43" s="32"/>
      <c r="F43" s="66">
        <v>50951</v>
      </c>
      <c r="G43" s="66"/>
      <c r="H43" s="115">
        <f t="shared" ref="H43" si="82">EDATE(H41,12)</f>
        <v>50936</v>
      </c>
      <c r="I43" s="102">
        <f t="shared" ref="I43" si="83">SUM(Y42:Y43)+SUM(AG42:AG43)</f>
        <v>5805000</v>
      </c>
      <c r="J43" s="102">
        <f t="shared" ref="J43" si="84">SUM(AA42:AA43)+SUM(AI42:AI43)</f>
        <v>1285725</v>
      </c>
      <c r="K43" s="102">
        <f t="shared" ref="K43" si="85">SUM(AB42:AB43)+SUM(AJ42:AJ43)</f>
        <v>0</v>
      </c>
      <c r="L43" s="102">
        <f>SUM(AC42:AC43)+SUM(AK42:AK43)</f>
        <v>0</v>
      </c>
      <c r="M43" s="32">
        <f t="shared" ref="M43" si="86">SUM(I43:L43)</f>
        <v>7090725</v>
      </c>
      <c r="O43" s="66">
        <v>50951</v>
      </c>
      <c r="P43" s="66"/>
      <c r="Q43" s="66">
        <f t="shared" si="2"/>
        <v>50936</v>
      </c>
      <c r="R43" s="102">
        <f t="shared" si="3"/>
        <v>5805000</v>
      </c>
      <c r="S43" s="102">
        <f t="shared" si="4"/>
        <v>642862.5</v>
      </c>
      <c r="T43" s="102">
        <f t="shared" si="5"/>
        <v>0</v>
      </c>
      <c r="U43" s="102">
        <f t="shared" si="6"/>
        <v>0</v>
      </c>
      <c r="V43" s="32">
        <f t="shared" si="7"/>
        <v>6447862.5</v>
      </c>
      <c r="X43" s="66">
        <v>50936</v>
      </c>
      <c r="Y43" s="102">
        <v>3620000</v>
      </c>
      <c r="Z43" s="71">
        <v>5.2499999999999998E-2</v>
      </c>
      <c r="AA43" s="102">
        <v>210525</v>
      </c>
      <c r="AB43" s="102">
        <v>0</v>
      </c>
      <c r="AC43" s="102">
        <v>0</v>
      </c>
      <c r="AD43" s="32">
        <f t="shared" si="1"/>
        <v>3830525</v>
      </c>
      <c r="AF43" s="158">
        <v>50936</v>
      </c>
      <c r="AG43" s="102">
        <f t="shared" si="8"/>
        <v>2185000</v>
      </c>
      <c r="AH43" s="146"/>
      <c r="AI43" s="102">
        <f t="shared" si="8"/>
        <v>432337.5</v>
      </c>
      <c r="AJ43" s="102">
        <f t="shared" si="8"/>
        <v>0</v>
      </c>
      <c r="AK43" s="102">
        <f t="shared" si="8"/>
        <v>0</v>
      </c>
      <c r="AL43" s="102">
        <f t="shared" si="9"/>
        <v>2617337.5</v>
      </c>
      <c r="AM43" s="111"/>
      <c r="AN43" s="158">
        <v>50936</v>
      </c>
      <c r="AO43" s="102">
        <v>2185000</v>
      </c>
      <c r="AP43" s="112">
        <v>5.2499999999999998E-2</v>
      </c>
      <c r="AQ43" s="32">
        <f t="shared" si="13"/>
        <v>432337.5</v>
      </c>
      <c r="AR43" s="102">
        <v>0</v>
      </c>
      <c r="AS43" s="102">
        <f t="shared" si="15"/>
        <v>0</v>
      </c>
      <c r="AT43" s="102">
        <f t="shared" si="10"/>
        <v>2617337.5</v>
      </c>
      <c r="AU43" s="30"/>
      <c r="AV43" s="158">
        <v>50936</v>
      </c>
      <c r="AW43" s="102">
        <v>0</v>
      </c>
      <c r="AX43" s="112">
        <v>7.4999999999999997E-2</v>
      </c>
      <c r="AY43" s="102">
        <f t="shared" si="14"/>
        <v>0</v>
      </c>
      <c r="AZ43" s="102">
        <v>0</v>
      </c>
      <c r="BA43" s="102">
        <f t="shared" si="16"/>
        <v>0</v>
      </c>
      <c r="BB43" s="102">
        <f t="shared" si="11"/>
        <v>0</v>
      </c>
    </row>
    <row r="44" spans="1:54" ht="13.8" x14ac:dyDescent="0.3">
      <c r="A44" s="154"/>
      <c r="B44" s="66"/>
      <c r="C44" s="155"/>
      <c r="D44" s="32"/>
      <c r="F44" s="66"/>
      <c r="G44" s="66"/>
      <c r="H44" s="115"/>
      <c r="I44" s="102"/>
      <c r="J44" s="102"/>
      <c r="K44" s="102"/>
      <c r="O44" s="66">
        <v>51135</v>
      </c>
      <c r="P44" s="66"/>
      <c r="Q44" s="66">
        <f t="shared" si="2"/>
        <v>51119</v>
      </c>
      <c r="R44" s="102">
        <f t="shared" si="3"/>
        <v>0</v>
      </c>
      <c r="S44" s="102">
        <f t="shared" si="4"/>
        <v>490481.25</v>
      </c>
      <c r="T44" s="102">
        <f t="shared" si="5"/>
        <v>0</v>
      </c>
      <c r="U44" s="102">
        <f t="shared" si="6"/>
        <v>0</v>
      </c>
      <c r="V44" s="32">
        <f t="shared" si="7"/>
        <v>490481.25</v>
      </c>
      <c r="X44" s="66">
        <v>51119</v>
      </c>
      <c r="Y44" s="102">
        <v>0</v>
      </c>
      <c r="Z44" s="71"/>
      <c r="AA44" s="102">
        <v>115500</v>
      </c>
      <c r="AB44" s="102">
        <v>0</v>
      </c>
      <c r="AC44" s="102">
        <v>0</v>
      </c>
      <c r="AD44" s="32">
        <f t="shared" si="1"/>
        <v>115500</v>
      </c>
      <c r="AF44" s="158">
        <v>51119</v>
      </c>
      <c r="AG44" s="102">
        <f t="shared" si="8"/>
        <v>0</v>
      </c>
      <c r="AH44" s="146"/>
      <c r="AI44" s="102">
        <f t="shared" si="8"/>
        <v>374981.25</v>
      </c>
      <c r="AJ44" s="102">
        <f t="shared" si="8"/>
        <v>0</v>
      </c>
      <c r="AK44" s="102">
        <f t="shared" si="8"/>
        <v>0</v>
      </c>
      <c r="AL44" s="102">
        <f t="shared" si="9"/>
        <v>374981.25</v>
      </c>
      <c r="AM44" s="111"/>
      <c r="AN44" s="158">
        <v>51119</v>
      </c>
      <c r="AO44" s="102">
        <v>0</v>
      </c>
      <c r="AP44" s="112">
        <v>5.2499999999999998E-2</v>
      </c>
      <c r="AQ44" s="32">
        <f t="shared" si="13"/>
        <v>374981.25</v>
      </c>
      <c r="AR44" s="102">
        <v>0</v>
      </c>
      <c r="AS44" s="102">
        <f t="shared" si="15"/>
        <v>0</v>
      </c>
      <c r="AT44" s="102">
        <f t="shared" si="10"/>
        <v>374981.25</v>
      </c>
      <c r="AU44" s="30"/>
      <c r="AV44" s="158">
        <v>51119</v>
      </c>
      <c r="AW44" s="102">
        <v>0</v>
      </c>
      <c r="AX44" s="112">
        <v>7.4999999999999997E-2</v>
      </c>
      <c r="AY44" s="102">
        <f t="shared" si="14"/>
        <v>0</v>
      </c>
      <c r="AZ44" s="102">
        <v>0</v>
      </c>
      <c r="BA44" s="102">
        <f t="shared" si="16"/>
        <v>0</v>
      </c>
      <c r="BB44" s="102">
        <f t="shared" si="11"/>
        <v>0</v>
      </c>
    </row>
    <row r="45" spans="1:54" ht="13.8" x14ac:dyDescent="0.3">
      <c r="A45" s="154"/>
      <c r="B45" s="66"/>
      <c r="C45" s="155"/>
      <c r="D45" s="32"/>
      <c r="F45" s="66">
        <v>51317</v>
      </c>
      <c r="G45" s="66"/>
      <c r="H45" s="115">
        <f t="shared" ref="H45" si="87">EDATE(H43,12)</f>
        <v>51302</v>
      </c>
      <c r="I45" s="102">
        <f t="shared" ref="I45" si="88">SUM(Y44:Y45)+SUM(AG44:AG45)</f>
        <v>6325000</v>
      </c>
      <c r="J45" s="102">
        <f t="shared" ref="J45" si="89">SUM(AA44:AA45)+SUM(AI44:AI45)</f>
        <v>980962.5</v>
      </c>
      <c r="K45" s="102">
        <f t="shared" ref="K45" si="90">SUM(AB44:AB45)+SUM(AJ44:AJ45)</f>
        <v>0</v>
      </c>
      <c r="L45" s="102">
        <f>SUM(AC44:AC45)+SUM(AK44:AK45)</f>
        <v>0</v>
      </c>
      <c r="M45" s="32">
        <f t="shared" ref="M45" si="91">SUM(I45:L45)</f>
        <v>7305962.5</v>
      </c>
      <c r="O45" s="66">
        <v>51317</v>
      </c>
      <c r="P45" s="66"/>
      <c r="Q45" s="66">
        <f t="shared" si="2"/>
        <v>51302</v>
      </c>
      <c r="R45" s="102">
        <f t="shared" si="3"/>
        <v>6325000</v>
      </c>
      <c r="S45" s="102">
        <f t="shared" si="4"/>
        <v>490481.25</v>
      </c>
      <c r="T45" s="102">
        <f t="shared" si="5"/>
        <v>0</v>
      </c>
      <c r="U45" s="102">
        <f t="shared" si="6"/>
        <v>0</v>
      </c>
      <c r="V45" s="32">
        <f t="shared" si="7"/>
        <v>6815481.25</v>
      </c>
      <c r="X45" s="66">
        <v>51302</v>
      </c>
      <c r="Y45" s="102">
        <v>3935000</v>
      </c>
      <c r="Z45" s="71">
        <v>5.2499999999999998E-2</v>
      </c>
      <c r="AA45" s="102">
        <v>115500</v>
      </c>
      <c r="AB45" s="102">
        <v>0</v>
      </c>
      <c r="AC45" s="102">
        <v>0</v>
      </c>
      <c r="AD45" s="32">
        <f t="shared" si="1"/>
        <v>4050500</v>
      </c>
      <c r="AF45" s="158">
        <v>51302</v>
      </c>
      <c r="AG45" s="102">
        <f t="shared" si="8"/>
        <v>2390000</v>
      </c>
      <c r="AH45" s="146"/>
      <c r="AI45" s="102">
        <f t="shared" si="8"/>
        <v>374981.25</v>
      </c>
      <c r="AJ45" s="102">
        <f t="shared" si="8"/>
        <v>0</v>
      </c>
      <c r="AK45" s="102">
        <f t="shared" si="8"/>
        <v>0</v>
      </c>
      <c r="AL45" s="102">
        <f t="shared" si="9"/>
        <v>2764981.25</v>
      </c>
      <c r="AM45" s="111"/>
      <c r="AN45" s="158">
        <v>51302</v>
      </c>
      <c r="AO45" s="102">
        <v>2390000</v>
      </c>
      <c r="AP45" s="112">
        <v>5.2499999999999998E-2</v>
      </c>
      <c r="AQ45" s="32">
        <f t="shared" si="13"/>
        <v>374981.25</v>
      </c>
      <c r="AR45" s="102">
        <v>0</v>
      </c>
      <c r="AS45" s="102">
        <f t="shared" si="15"/>
        <v>0</v>
      </c>
      <c r="AT45" s="102">
        <f t="shared" si="10"/>
        <v>2764981.25</v>
      </c>
      <c r="AU45" s="30"/>
      <c r="AV45" s="158">
        <v>51302</v>
      </c>
      <c r="AW45" s="102">
        <v>0</v>
      </c>
      <c r="AX45" s="112">
        <v>7.4999999999999997E-2</v>
      </c>
      <c r="AY45" s="102">
        <f t="shared" si="14"/>
        <v>0</v>
      </c>
      <c r="AZ45" s="102">
        <v>0</v>
      </c>
      <c r="BA45" s="102">
        <f t="shared" si="16"/>
        <v>0</v>
      </c>
      <c r="BB45" s="102">
        <f t="shared" si="11"/>
        <v>0</v>
      </c>
    </row>
    <row r="46" spans="1:54" ht="13.8" x14ac:dyDescent="0.3">
      <c r="A46" s="154"/>
      <c r="B46" s="66"/>
      <c r="C46" s="155"/>
      <c r="D46" s="32"/>
      <c r="F46" s="66"/>
      <c r="G46" s="66"/>
      <c r="H46" s="115"/>
      <c r="I46" s="102"/>
      <c r="J46" s="102"/>
      <c r="K46" s="102"/>
      <c r="O46" s="66">
        <v>51501</v>
      </c>
      <c r="P46" s="66"/>
      <c r="Q46" s="66">
        <f t="shared" si="2"/>
        <v>51485</v>
      </c>
      <c r="R46" s="102">
        <f t="shared" si="3"/>
        <v>0</v>
      </c>
      <c r="S46" s="102">
        <f t="shared" si="4"/>
        <v>324450</v>
      </c>
      <c r="T46" s="102">
        <f t="shared" si="5"/>
        <v>0</v>
      </c>
      <c r="U46" s="102">
        <f t="shared" si="6"/>
        <v>0</v>
      </c>
      <c r="V46" s="32">
        <f t="shared" si="7"/>
        <v>324450</v>
      </c>
      <c r="X46" s="66">
        <v>51485</v>
      </c>
      <c r="Y46" s="102">
        <v>0</v>
      </c>
      <c r="Z46" s="71"/>
      <c r="AA46" s="102">
        <v>12206.25</v>
      </c>
      <c r="AB46" s="102">
        <v>0</v>
      </c>
      <c r="AC46" s="102">
        <v>0</v>
      </c>
      <c r="AD46" s="32">
        <f t="shared" si="1"/>
        <v>12206.25</v>
      </c>
      <c r="AF46" s="158">
        <v>51485</v>
      </c>
      <c r="AG46" s="102">
        <f t="shared" si="8"/>
        <v>0</v>
      </c>
      <c r="AH46" s="146"/>
      <c r="AI46" s="102">
        <f t="shared" si="8"/>
        <v>312243.75</v>
      </c>
      <c r="AJ46" s="102">
        <f t="shared" si="8"/>
        <v>0</v>
      </c>
      <c r="AK46" s="102">
        <f t="shared" si="8"/>
        <v>0</v>
      </c>
      <c r="AL46" s="102">
        <f t="shared" si="9"/>
        <v>312243.75</v>
      </c>
      <c r="AM46" s="111"/>
      <c r="AN46" s="158">
        <v>51485</v>
      </c>
      <c r="AO46" s="102">
        <v>0</v>
      </c>
      <c r="AP46" s="112">
        <v>5.2499999999999998E-2</v>
      </c>
      <c r="AQ46" s="32">
        <f t="shared" si="13"/>
        <v>312243.75</v>
      </c>
      <c r="AR46" s="102">
        <v>0</v>
      </c>
      <c r="AS46" s="102">
        <f t="shared" si="15"/>
        <v>0</v>
      </c>
      <c r="AT46" s="102">
        <f t="shared" si="10"/>
        <v>312243.75</v>
      </c>
      <c r="AU46" s="30"/>
      <c r="AV46" s="158">
        <v>51485</v>
      </c>
      <c r="AW46" s="102">
        <v>0</v>
      </c>
      <c r="AX46" s="112">
        <v>7.4999999999999997E-2</v>
      </c>
      <c r="AY46" s="102">
        <f t="shared" si="14"/>
        <v>0</v>
      </c>
      <c r="AZ46" s="102">
        <v>0</v>
      </c>
      <c r="BA46" s="102">
        <f t="shared" si="16"/>
        <v>0</v>
      </c>
      <c r="BB46" s="102">
        <f t="shared" si="11"/>
        <v>0</v>
      </c>
    </row>
    <row r="47" spans="1:54" ht="13.8" x14ac:dyDescent="0.3">
      <c r="A47" s="154"/>
      <c r="B47" s="66"/>
      <c r="C47" s="155"/>
      <c r="F47" s="66">
        <v>51682</v>
      </c>
      <c r="G47" s="66"/>
      <c r="H47" s="115">
        <f t="shared" ref="H47" si="92">EDATE(H45,12)</f>
        <v>51667</v>
      </c>
      <c r="I47" s="102">
        <f t="shared" ref="I47" si="93">SUM(Y46:Y47)+SUM(AG46:AG47)</f>
        <v>3075000</v>
      </c>
      <c r="J47" s="102">
        <f t="shared" ref="J47" si="94">SUM(AA46:AA47)+SUM(AI46:AI47)</f>
        <v>648900</v>
      </c>
      <c r="K47" s="102">
        <f t="shared" ref="K47" si="95">SUM(AB46:AB47)+SUM(AJ46:AJ47)</f>
        <v>0</v>
      </c>
      <c r="L47" s="102">
        <f>SUM(AC46:AC47)+SUM(AK46:AK47)</f>
        <v>0</v>
      </c>
      <c r="M47" s="32">
        <f t="shared" ref="M47" si="96">SUM(I47:L47)</f>
        <v>3723900</v>
      </c>
      <c r="O47" s="66">
        <v>51682</v>
      </c>
      <c r="P47" s="66"/>
      <c r="Q47" s="66">
        <f t="shared" si="2"/>
        <v>51667</v>
      </c>
      <c r="R47" s="102">
        <f t="shared" si="3"/>
        <v>3075000</v>
      </c>
      <c r="S47" s="102">
        <f t="shared" si="4"/>
        <v>324450</v>
      </c>
      <c r="T47" s="102">
        <f t="shared" si="5"/>
        <v>0</v>
      </c>
      <c r="U47" s="102">
        <f t="shared" si="6"/>
        <v>0</v>
      </c>
      <c r="V47" s="32">
        <f t="shared" si="7"/>
        <v>3399450</v>
      </c>
      <c r="X47" s="66">
        <v>51667</v>
      </c>
      <c r="Y47" s="102">
        <v>465000</v>
      </c>
      <c r="Z47" s="71">
        <v>5.2499999999999998E-2</v>
      </c>
      <c r="AA47" s="102">
        <v>12206.25</v>
      </c>
      <c r="AB47" s="102">
        <v>0</v>
      </c>
      <c r="AC47" s="102">
        <v>0</v>
      </c>
      <c r="AD47" s="32">
        <f t="shared" si="1"/>
        <v>477206.25</v>
      </c>
      <c r="AF47" s="158">
        <v>51667</v>
      </c>
      <c r="AG47" s="102">
        <f t="shared" si="8"/>
        <v>2610000</v>
      </c>
      <c r="AH47" s="146"/>
      <c r="AI47" s="102">
        <f t="shared" si="8"/>
        <v>312243.75</v>
      </c>
      <c r="AJ47" s="102">
        <f t="shared" si="8"/>
        <v>0</v>
      </c>
      <c r="AK47" s="102">
        <f t="shared" si="8"/>
        <v>0</v>
      </c>
      <c r="AL47" s="102">
        <f t="shared" si="9"/>
        <v>2922243.75</v>
      </c>
      <c r="AM47" s="111"/>
      <c r="AN47" s="158">
        <v>51667</v>
      </c>
      <c r="AO47" s="102">
        <v>2610000</v>
      </c>
      <c r="AP47" s="112">
        <v>5.2499999999999998E-2</v>
      </c>
      <c r="AQ47" s="32">
        <f t="shared" si="13"/>
        <v>312243.75</v>
      </c>
      <c r="AR47" s="102">
        <v>0</v>
      </c>
      <c r="AS47" s="102">
        <f t="shared" si="15"/>
        <v>0</v>
      </c>
      <c r="AT47" s="102">
        <f t="shared" si="10"/>
        <v>2922243.75</v>
      </c>
      <c r="AU47" s="30"/>
      <c r="AV47" s="158">
        <v>51667</v>
      </c>
      <c r="AW47" s="102">
        <v>0</v>
      </c>
      <c r="AX47" s="112">
        <v>7.4999999999999997E-2</v>
      </c>
      <c r="AY47" s="102">
        <f t="shared" si="14"/>
        <v>0</v>
      </c>
      <c r="AZ47" s="102">
        <v>0</v>
      </c>
      <c r="BA47" s="102">
        <f t="shared" si="16"/>
        <v>0</v>
      </c>
      <c r="BB47" s="102">
        <f t="shared" si="11"/>
        <v>0</v>
      </c>
    </row>
    <row r="48" spans="1:54" ht="13.8" x14ac:dyDescent="0.3">
      <c r="A48" s="154"/>
      <c r="B48" s="66"/>
      <c r="C48" s="155"/>
      <c r="F48" s="66"/>
      <c r="G48" s="66"/>
      <c r="H48" s="115"/>
      <c r="I48" s="102"/>
      <c r="J48" s="102"/>
      <c r="K48" s="102"/>
      <c r="O48" s="66">
        <v>51866</v>
      </c>
      <c r="P48" s="66"/>
      <c r="Q48" s="66">
        <f t="shared" si="2"/>
        <v>51850</v>
      </c>
      <c r="R48" s="102">
        <f t="shared" si="3"/>
        <v>0</v>
      </c>
      <c r="S48" s="102">
        <f t="shared" si="4"/>
        <v>243731.25</v>
      </c>
      <c r="T48" s="102">
        <f t="shared" si="5"/>
        <v>0</v>
      </c>
      <c r="U48" s="102">
        <f t="shared" si="6"/>
        <v>0</v>
      </c>
      <c r="V48" s="32">
        <f t="shared" si="7"/>
        <v>243731.25</v>
      </c>
      <c r="X48" s="66">
        <f t="shared" ref="X48:X53" si="97">EDATE(X47,6)</f>
        <v>51850</v>
      </c>
      <c r="Y48" s="102"/>
      <c r="Z48" s="71"/>
      <c r="AA48" s="102"/>
      <c r="AB48" s="102"/>
      <c r="AC48" s="102"/>
      <c r="AD48" s="32"/>
      <c r="AF48" s="158">
        <v>51850</v>
      </c>
      <c r="AG48" s="102">
        <f t="shared" si="8"/>
        <v>0</v>
      </c>
      <c r="AH48" s="146"/>
      <c r="AI48" s="102">
        <f t="shared" si="8"/>
        <v>243731.25</v>
      </c>
      <c r="AJ48" s="102">
        <f t="shared" si="8"/>
        <v>0</v>
      </c>
      <c r="AK48" s="102">
        <f t="shared" si="8"/>
        <v>0</v>
      </c>
      <c r="AL48" s="102">
        <f t="shared" si="9"/>
        <v>243731.25</v>
      </c>
      <c r="AM48" s="111"/>
      <c r="AN48" s="158">
        <v>51850</v>
      </c>
      <c r="AO48" s="102">
        <v>0</v>
      </c>
      <c r="AP48" s="112">
        <v>5.2499999999999998E-2</v>
      </c>
      <c r="AQ48" s="32">
        <f t="shared" si="13"/>
        <v>243731.25</v>
      </c>
      <c r="AR48" s="102">
        <v>0</v>
      </c>
      <c r="AS48" s="102">
        <f t="shared" si="15"/>
        <v>0</v>
      </c>
      <c r="AT48" s="102">
        <f t="shared" si="10"/>
        <v>243731.25</v>
      </c>
      <c r="AU48" s="30"/>
      <c r="AV48" s="158">
        <v>51850</v>
      </c>
      <c r="AW48" s="102">
        <v>0</v>
      </c>
      <c r="AX48" s="112">
        <v>7.4999999999999997E-2</v>
      </c>
      <c r="AY48" s="102">
        <f t="shared" si="14"/>
        <v>0</v>
      </c>
      <c r="AZ48" s="102">
        <v>0</v>
      </c>
      <c r="BA48" s="102">
        <f t="shared" si="16"/>
        <v>0</v>
      </c>
      <c r="BB48" s="102">
        <f t="shared" si="11"/>
        <v>0</v>
      </c>
    </row>
    <row r="49" spans="1:54" x14ac:dyDescent="0.25">
      <c r="A49" s="154"/>
      <c r="F49" s="66">
        <v>52047</v>
      </c>
      <c r="G49" s="66"/>
      <c r="H49" s="115">
        <f t="shared" ref="H49" si="98">EDATE(H47,12)</f>
        <v>52032</v>
      </c>
      <c r="I49" s="102">
        <f t="shared" ref="I49" si="99">SUM(Y48:Y49)+SUM(AG48:AG49)</f>
        <v>2845000</v>
      </c>
      <c r="J49" s="102">
        <f t="shared" ref="J49" si="100">SUM(AA48:AA49)+SUM(AI48:AI49)</f>
        <v>487462.5</v>
      </c>
      <c r="K49" s="102">
        <f t="shared" ref="K49" si="101">SUM(AB48:AB49)+SUM(AJ48:AJ49)</f>
        <v>0</v>
      </c>
      <c r="L49" s="102">
        <f>SUM(AC48:AC49)+SUM(AK48:AK49)</f>
        <v>0</v>
      </c>
      <c r="M49" s="32">
        <f t="shared" ref="M49" si="102">SUM(I49:L49)</f>
        <v>3332462.5</v>
      </c>
      <c r="O49" s="66">
        <v>52047</v>
      </c>
      <c r="P49" s="66"/>
      <c r="Q49" s="66">
        <f t="shared" si="2"/>
        <v>52032</v>
      </c>
      <c r="R49" s="102">
        <f t="shared" si="3"/>
        <v>2845000</v>
      </c>
      <c r="S49" s="102">
        <f t="shared" si="4"/>
        <v>243731.25</v>
      </c>
      <c r="T49" s="102">
        <f t="shared" si="5"/>
        <v>0</v>
      </c>
      <c r="U49" s="102">
        <f t="shared" si="6"/>
        <v>0</v>
      </c>
      <c r="V49" s="32">
        <f t="shared" si="7"/>
        <v>3088731.25</v>
      </c>
      <c r="X49" s="66">
        <f t="shared" si="97"/>
        <v>52032</v>
      </c>
      <c r="Y49" s="102"/>
      <c r="Z49" s="71"/>
      <c r="AA49" s="102"/>
      <c r="AB49" s="102"/>
      <c r="AC49" s="102"/>
      <c r="AD49" s="32"/>
      <c r="AF49" s="158">
        <v>52032</v>
      </c>
      <c r="AG49" s="102">
        <f t="shared" si="8"/>
        <v>2845000</v>
      </c>
      <c r="AH49" s="146"/>
      <c r="AI49" s="102">
        <f t="shared" si="8"/>
        <v>243731.25</v>
      </c>
      <c r="AJ49" s="102">
        <f t="shared" si="8"/>
        <v>0</v>
      </c>
      <c r="AK49" s="102">
        <f t="shared" si="8"/>
        <v>0</v>
      </c>
      <c r="AL49" s="102">
        <f t="shared" si="9"/>
        <v>3088731.25</v>
      </c>
      <c r="AM49" s="111"/>
      <c r="AN49" s="158">
        <v>52032</v>
      </c>
      <c r="AO49" s="102">
        <v>2845000</v>
      </c>
      <c r="AP49" s="112">
        <v>5.2499999999999998E-2</v>
      </c>
      <c r="AQ49" s="32">
        <f t="shared" si="13"/>
        <v>243731.25</v>
      </c>
      <c r="AR49" s="102">
        <v>0</v>
      </c>
      <c r="AS49" s="102">
        <f t="shared" si="15"/>
        <v>0</v>
      </c>
      <c r="AT49" s="102">
        <f t="shared" si="10"/>
        <v>3088731.25</v>
      </c>
      <c r="AU49" s="30"/>
      <c r="AV49" s="158">
        <v>52032</v>
      </c>
      <c r="AW49" s="102">
        <v>0</v>
      </c>
      <c r="AX49" s="112">
        <v>7.4999999999999997E-2</v>
      </c>
      <c r="AY49" s="102">
        <f t="shared" si="14"/>
        <v>0</v>
      </c>
      <c r="AZ49" s="102">
        <v>0</v>
      </c>
      <c r="BA49" s="102">
        <f t="shared" si="16"/>
        <v>0</v>
      </c>
      <c r="BB49" s="102">
        <f t="shared" si="11"/>
        <v>0</v>
      </c>
    </row>
    <row r="50" spans="1:54" x14ac:dyDescent="0.25">
      <c r="A50" s="154"/>
      <c r="F50" s="66"/>
      <c r="H50" s="115"/>
      <c r="I50" s="102"/>
      <c r="J50" s="102"/>
      <c r="K50" s="102"/>
      <c r="O50" s="66">
        <v>52231</v>
      </c>
      <c r="Q50" s="66">
        <f t="shared" si="2"/>
        <v>52215</v>
      </c>
      <c r="R50" s="102">
        <f t="shared" si="3"/>
        <v>0</v>
      </c>
      <c r="S50" s="102">
        <f t="shared" si="4"/>
        <v>169050</v>
      </c>
      <c r="T50" s="102">
        <f t="shared" si="5"/>
        <v>0</v>
      </c>
      <c r="U50" s="102">
        <f t="shared" si="6"/>
        <v>0</v>
      </c>
      <c r="V50" s="32">
        <f t="shared" si="7"/>
        <v>169050</v>
      </c>
      <c r="X50" s="66">
        <f t="shared" si="97"/>
        <v>52215</v>
      </c>
      <c r="Y50" s="102"/>
      <c r="AA50" s="102"/>
      <c r="AB50" s="102"/>
      <c r="AC50" s="102"/>
      <c r="AF50" s="158">
        <v>52215</v>
      </c>
      <c r="AG50" s="102">
        <f t="shared" si="8"/>
        <v>0</v>
      </c>
      <c r="AH50" s="146"/>
      <c r="AI50" s="102">
        <f t="shared" si="8"/>
        <v>169050</v>
      </c>
      <c r="AJ50" s="102">
        <f t="shared" si="8"/>
        <v>0</v>
      </c>
      <c r="AK50" s="102">
        <f t="shared" si="8"/>
        <v>0</v>
      </c>
      <c r="AL50" s="102">
        <f t="shared" si="9"/>
        <v>169050</v>
      </c>
      <c r="AM50" s="111"/>
      <c r="AN50" s="158">
        <v>52215</v>
      </c>
      <c r="AO50" s="102">
        <v>0</v>
      </c>
      <c r="AP50" s="112">
        <v>5.2499999999999998E-2</v>
      </c>
      <c r="AQ50" s="32">
        <f t="shared" si="13"/>
        <v>169050</v>
      </c>
      <c r="AR50" s="102">
        <v>0</v>
      </c>
      <c r="AS50" s="102">
        <f t="shared" si="15"/>
        <v>0</v>
      </c>
      <c r="AT50" s="102">
        <f t="shared" si="10"/>
        <v>169050</v>
      </c>
      <c r="AU50" s="30"/>
      <c r="AV50" s="158">
        <v>52215</v>
      </c>
      <c r="AW50" s="102">
        <v>0</v>
      </c>
      <c r="AX50" s="112">
        <v>7.4999999999999997E-2</v>
      </c>
      <c r="AY50" s="102">
        <f t="shared" si="14"/>
        <v>0</v>
      </c>
      <c r="AZ50" s="102">
        <v>0</v>
      </c>
      <c r="BA50" s="102">
        <f t="shared" si="16"/>
        <v>0</v>
      </c>
      <c r="BB50" s="102">
        <f t="shared" si="11"/>
        <v>0</v>
      </c>
    </row>
    <row r="51" spans="1:54" x14ac:dyDescent="0.25">
      <c r="A51" s="154"/>
      <c r="B51" s="156"/>
      <c r="C51" s="60"/>
      <c r="F51" s="66">
        <v>52412</v>
      </c>
      <c r="H51" s="115">
        <f t="shared" ref="H51" si="103">EDATE(H49,12)</f>
        <v>52397</v>
      </c>
      <c r="I51" s="102">
        <f t="shared" ref="I51" si="104">SUM(Y50:Y51)+SUM(AG50:AG51)</f>
        <v>3095000</v>
      </c>
      <c r="J51" s="102">
        <f t="shared" ref="J51" si="105">SUM(AA50:AA51)+SUM(AI50:AI51)</f>
        <v>338100</v>
      </c>
      <c r="K51" s="102">
        <f t="shared" ref="K51" si="106">SUM(AB50:AB51)+SUM(AJ50:AJ51)</f>
        <v>0</v>
      </c>
      <c r="L51" s="102">
        <f>SUM(AC50:AC51)+SUM(AK50:AK51)</f>
        <v>0</v>
      </c>
      <c r="M51" s="32">
        <f t="shared" ref="M51" si="107">SUM(I51:L51)</f>
        <v>3433100</v>
      </c>
      <c r="O51" s="66">
        <v>52412</v>
      </c>
      <c r="Q51" s="66">
        <f t="shared" si="2"/>
        <v>52397</v>
      </c>
      <c r="R51" s="102">
        <f t="shared" si="3"/>
        <v>3095000</v>
      </c>
      <c r="S51" s="102">
        <f t="shared" si="4"/>
        <v>169050</v>
      </c>
      <c r="T51" s="102">
        <f t="shared" si="5"/>
        <v>0</v>
      </c>
      <c r="U51" s="102">
        <f t="shared" si="6"/>
        <v>0</v>
      </c>
      <c r="V51" s="32">
        <f t="shared" si="7"/>
        <v>3264050</v>
      </c>
      <c r="X51" s="66">
        <f t="shared" si="97"/>
        <v>52397</v>
      </c>
      <c r="Y51" s="102"/>
      <c r="AA51" s="102"/>
      <c r="AB51" s="102"/>
      <c r="AC51" s="102"/>
      <c r="AF51" s="158">
        <v>52397</v>
      </c>
      <c r="AG51" s="102">
        <f t="shared" si="8"/>
        <v>3095000</v>
      </c>
      <c r="AH51" s="146"/>
      <c r="AI51" s="102">
        <f t="shared" si="8"/>
        <v>169050</v>
      </c>
      <c r="AJ51" s="102">
        <f t="shared" si="8"/>
        <v>0</v>
      </c>
      <c r="AK51" s="102">
        <f t="shared" si="8"/>
        <v>0</v>
      </c>
      <c r="AL51" s="102">
        <f t="shared" si="9"/>
        <v>3264050</v>
      </c>
      <c r="AM51" s="111"/>
      <c r="AN51" s="158">
        <v>52397</v>
      </c>
      <c r="AO51" s="102">
        <v>3095000</v>
      </c>
      <c r="AP51" s="112">
        <v>5.2499999999999998E-2</v>
      </c>
      <c r="AQ51" s="32">
        <f t="shared" si="13"/>
        <v>169050</v>
      </c>
      <c r="AR51" s="102">
        <v>0</v>
      </c>
      <c r="AS51" s="102">
        <f t="shared" si="15"/>
        <v>0</v>
      </c>
      <c r="AT51" s="102">
        <f t="shared" si="10"/>
        <v>3264050</v>
      </c>
      <c r="AU51" s="30"/>
      <c r="AV51" s="158">
        <v>52397</v>
      </c>
      <c r="AW51" s="102">
        <v>0</v>
      </c>
      <c r="AX51" s="112">
        <v>7.4999999999999997E-2</v>
      </c>
      <c r="AY51" s="102">
        <f t="shared" si="14"/>
        <v>0</v>
      </c>
      <c r="AZ51" s="102">
        <v>0</v>
      </c>
      <c r="BA51" s="102">
        <f t="shared" si="16"/>
        <v>0</v>
      </c>
      <c r="BB51" s="102">
        <f t="shared" si="11"/>
        <v>0</v>
      </c>
    </row>
    <row r="52" spans="1:54" x14ac:dyDescent="0.25">
      <c r="F52" s="66"/>
      <c r="H52" s="115"/>
      <c r="I52" s="102"/>
      <c r="J52" s="102"/>
      <c r="K52" s="102"/>
      <c r="O52" s="66">
        <v>52596</v>
      </c>
      <c r="Q52" s="66">
        <f t="shared" si="2"/>
        <v>52580</v>
      </c>
      <c r="R52" s="102">
        <f t="shared" si="3"/>
        <v>0</v>
      </c>
      <c r="S52" s="102">
        <f t="shared" si="4"/>
        <v>87806.25</v>
      </c>
      <c r="T52" s="102">
        <f t="shared" si="5"/>
        <v>0</v>
      </c>
      <c r="U52" s="102">
        <f t="shared" si="6"/>
        <v>0</v>
      </c>
      <c r="V52" s="32">
        <f t="shared" si="7"/>
        <v>87806.25</v>
      </c>
      <c r="X52" s="66">
        <f t="shared" si="97"/>
        <v>52580</v>
      </c>
      <c r="Y52" s="102"/>
      <c r="AA52" s="102"/>
      <c r="AB52" s="102"/>
      <c r="AC52" s="102"/>
      <c r="AF52" s="158">
        <v>52580</v>
      </c>
      <c r="AG52" s="102">
        <f t="shared" si="8"/>
        <v>0</v>
      </c>
      <c r="AH52" s="146"/>
      <c r="AI52" s="102">
        <f t="shared" si="8"/>
        <v>87806.25</v>
      </c>
      <c r="AJ52" s="102">
        <f t="shared" si="8"/>
        <v>0</v>
      </c>
      <c r="AK52" s="102">
        <f t="shared" si="8"/>
        <v>0</v>
      </c>
      <c r="AL52" s="102">
        <f t="shared" si="9"/>
        <v>87806.25</v>
      </c>
      <c r="AM52" s="111"/>
      <c r="AN52" s="158">
        <v>52580</v>
      </c>
      <c r="AO52" s="102">
        <v>0</v>
      </c>
      <c r="AP52" s="112">
        <v>5.2499999999999998E-2</v>
      </c>
      <c r="AQ52" s="32">
        <f t="shared" si="13"/>
        <v>87806.25</v>
      </c>
      <c r="AR52" s="102">
        <v>0</v>
      </c>
      <c r="AS52" s="102">
        <f t="shared" si="15"/>
        <v>0</v>
      </c>
      <c r="AT52" s="102">
        <f t="shared" si="10"/>
        <v>87806.25</v>
      </c>
      <c r="AU52" s="30"/>
      <c r="AV52" s="158">
        <v>52580</v>
      </c>
      <c r="AW52" s="102">
        <v>0</v>
      </c>
      <c r="AX52" s="112">
        <v>7.4999999999999997E-2</v>
      </c>
      <c r="AY52" s="102">
        <f t="shared" si="14"/>
        <v>0</v>
      </c>
      <c r="AZ52" s="102">
        <v>0</v>
      </c>
      <c r="BA52" s="102">
        <f t="shared" si="16"/>
        <v>0</v>
      </c>
      <c r="BB52" s="102">
        <f t="shared" si="11"/>
        <v>0</v>
      </c>
    </row>
    <row r="53" spans="1:54" x14ac:dyDescent="0.25">
      <c r="F53" s="66">
        <v>52778</v>
      </c>
      <c r="H53" s="115">
        <f t="shared" ref="H53:H55" si="108">EDATE(H51,12)</f>
        <v>52763</v>
      </c>
      <c r="I53" s="102">
        <f t="shared" ref="I53" si="109">SUM(Y52:Y53)+SUM(AG52:AG53)</f>
        <v>3345000</v>
      </c>
      <c r="J53" s="102">
        <f t="shared" ref="J53" si="110">SUM(AA52:AA53)+SUM(AI52:AI53)</f>
        <v>175612.5</v>
      </c>
      <c r="K53" s="102">
        <f t="shared" ref="K53" si="111">SUM(AB52:AB53)+SUM(AJ52:AJ53)</f>
        <v>0</v>
      </c>
      <c r="L53" s="102">
        <f>SUM(AC52:AC53)+SUM(AK52:AK53)</f>
        <v>0</v>
      </c>
      <c r="M53" s="32">
        <f t="shared" ref="M53" si="112">SUM(I53:L53)</f>
        <v>3520612.5</v>
      </c>
      <c r="O53" s="66">
        <v>52778</v>
      </c>
      <c r="Q53" s="66">
        <f t="shared" si="2"/>
        <v>52763</v>
      </c>
      <c r="R53" s="102">
        <f t="shared" si="3"/>
        <v>3345000</v>
      </c>
      <c r="S53" s="102">
        <f t="shared" si="4"/>
        <v>87806.25</v>
      </c>
      <c r="T53" s="102">
        <f t="shared" si="5"/>
        <v>0</v>
      </c>
      <c r="U53" s="102">
        <f t="shared" si="6"/>
        <v>0</v>
      </c>
      <c r="V53" s="32">
        <f t="shared" si="7"/>
        <v>3432806.25</v>
      </c>
      <c r="X53" s="66">
        <f t="shared" si="97"/>
        <v>52763</v>
      </c>
      <c r="Y53" s="142"/>
      <c r="Z53" s="60"/>
      <c r="AA53" s="142"/>
      <c r="AB53" s="142"/>
      <c r="AC53" s="142"/>
      <c r="AF53" s="158">
        <v>52763</v>
      </c>
      <c r="AG53" s="102">
        <f t="shared" si="8"/>
        <v>3345000</v>
      </c>
      <c r="AH53" s="146"/>
      <c r="AI53" s="102">
        <f t="shared" si="8"/>
        <v>87806.25</v>
      </c>
      <c r="AJ53" s="102">
        <f t="shared" si="8"/>
        <v>0</v>
      </c>
      <c r="AK53" s="102">
        <f t="shared" si="8"/>
        <v>0</v>
      </c>
      <c r="AL53" s="102">
        <f t="shared" si="9"/>
        <v>3432806.25</v>
      </c>
      <c r="AM53" s="111"/>
      <c r="AN53" s="158">
        <v>52763</v>
      </c>
      <c r="AO53" s="102">
        <v>3345000</v>
      </c>
      <c r="AP53" s="112">
        <v>5.2499999999999998E-2</v>
      </c>
      <c r="AQ53" s="32">
        <f t="shared" si="13"/>
        <v>87806.25</v>
      </c>
      <c r="AR53" s="102">
        <v>0</v>
      </c>
      <c r="AS53" s="102">
        <f t="shared" si="15"/>
        <v>0</v>
      </c>
      <c r="AT53" s="102">
        <f t="shared" si="10"/>
        <v>3432806.25</v>
      </c>
      <c r="AU53" s="30"/>
      <c r="AV53" s="158">
        <v>52763</v>
      </c>
      <c r="AW53" s="102">
        <v>0</v>
      </c>
      <c r="AX53" s="112">
        <v>7.4999999999999997E-2</v>
      </c>
      <c r="AY53" s="102">
        <f t="shared" si="14"/>
        <v>0</v>
      </c>
      <c r="AZ53" s="102">
        <v>0</v>
      </c>
      <c r="BA53" s="102">
        <f t="shared" si="16"/>
        <v>0</v>
      </c>
      <c r="BB53" s="102">
        <f t="shared" si="11"/>
        <v>0</v>
      </c>
    </row>
    <row r="54" spans="1:54" ht="3.6" customHeight="1" x14ac:dyDescent="0.25">
      <c r="F54" s="66"/>
      <c r="H54" s="115"/>
      <c r="I54" s="102"/>
      <c r="J54" s="102"/>
      <c r="O54" s="66"/>
      <c r="Q54" s="66"/>
      <c r="R54" s="102"/>
      <c r="S54" s="102"/>
      <c r="X54" s="66"/>
      <c r="Y54" s="143"/>
      <c r="Z54" s="106"/>
      <c r="AA54" s="143"/>
      <c r="AB54" s="143"/>
      <c r="AC54" s="143"/>
      <c r="AD54" s="106"/>
      <c r="AF54" s="158"/>
      <c r="AG54" s="102"/>
      <c r="AH54" s="146"/>
      <c r="AI54" s="102"/>
      <c r="AJ54" s="102"/>
      <c r="AK54" s="102"/>
      <c r="AL54" s="32"/>
      <c r="AM54" s="111"/>
      <c r="AN54" s="30"/>
      <c r="AO54" s="102"/>
      <c r="AP54" s="112"/>
      <c r="AQ54" s="32"/>
      <c r="AR54" s="32"/>
      <c r="AS54" s="32"/>
      <c r="AT54" s="32"/>
      <c r="AU54" s="30"/>
      <c r="AV54" s="30"/>
      <c r="AW54" s="102"/>
      <c r="AX54" s="112"/>
      <c r="AY54" s="102"/>
      <c r="AZ54" s="102"/>
      <c r="BA54" s="102"/>
      <c r="BB54" s="102"/>
    </row>
    <row r="55" spans="1:54" ht="3.6" customHeight="1" x14ac:dyDescent="0.25">
      <c r="F55" s="66"/>
      <c r="H55" s="115"/>
      <c r="I55" s="102"/>
      <c r="J55" s="102"/>
      <c r="K55" s="32"/>
      <c r="L55" s="102"/>
      <c r="M55" s="32"/>
      <c r="O55" s="66"/>
      <c r="Q55" s="66"/>
      <c r="R55" s="32"/>
      <c r="S55" s="32"/>
      <c r="T55" s="32"/>
      <c r="U55" s="102"/>
      <c r="V55" s="32"/>
      <c r="X55" s="66"/>
      <c r="Y55" s="106"/>
      <c r="Z55" s="106"/>
      <c r="AA55" s="106"/>
      <c r="AB55" s="143"/>
      <c r="AC55" s="143"/>
      <c r="AD55" s="106"/>
      <c r="AF55" s="30"/>
      <c r="AG55" s="32"/>
      <c r="AH55" s="112"/>
      <c r="AI55" s="32"/>
      <c r="AJ55" s="102"/>
      <c r="AK55" s="102"/>
      <c r="AL55" s="32"/>
      <c r="AM55" s="111"/>
      <c r="AN55" s="30"/>
      <c r="AO55" s="32"/>
      <c r="AP55" s="112"/>
      <c r="AQ55" s="32"/>
      <c r="AR55" s="32"/>
      <c r="AS55" s="32"/>
      <c r="AT55" s="32"/>
      <c r="AU55" s="30"/>
      <c r="AV55" s="30"/>
      <c r="AW55" s="32"/>
      <c r="AX55" s="112"/>
      <c r="AY55" s="102"/>
      <c r="AZ55" s="102"/>
      <c r="BA55" s="102"/>
      <c r="BB55" s="102"/>
    </row>
    <row r="56" spans="1:54" ht="3.6" customHeight="1" x14ac:dyDescent="0.25">
      <c r="F56" s="66"/>
      <c r="H56" s="115"/>
      <c r="I56" s="32"/>
      <c r="O56" s="66"/>
      <c r="Q56" s="66"/>
      <c r="R56" s="32"/>
      <c r="X56" s="66"/>
      <c r="Y56" s="106"/>
      <c r="Z56" s="106"/>
      <c r="AA56" s="106"/>
      <c r="AB56" s="143"/>
      <c r="AC56" s="143"/>
      <c r="AD56" s="106"/>
      <c r="AF56" s="30"/>
      <c r="AG56" s="32"/>
      <c r="AH56" s="112"/>
      <c r="AI56" s="32"/>
      <c r="AJ56" s="102"/>
      <c r="AK56" s="102"/>
      <c r="AL56" s="32"/>
      <c r="AM56" s="111"/>
      <c r="AN56" s="30"/>
      <c r="AO56" s="32"/>
      <c r="AP56" s="112"/>
      <c r="AQ56" s="32"/>
      <c r="AR56" s="32"/>
      <c r="AS56" s="32"/>
      <c r="AT56" s="32"/>
      <c r="AU56" s="30"/>
      <c r="AV56" s="30"/>
      <c r="AW56" s="32"/>
      <c r="AX56" s="112"/>
      <c r="AY56" s="102"/>
      <c r="AZ56" s="102"/>
      <c r="BA56" s="102"/>
      <c r="BB56" s="102"/>
    </row>
    <row r="57" spans="1:54" ht="3.6" customHeight="1" x14ac:dyDescent="0.25">
      <c r="AB57" s="102"/>
      <c r="AC57" s="102"/>
      <c r="AF57" s="30"/>
      <c r="AG57" s="113"/>
      <c r="AH57" s="30"/>
      <c r="AI57" s="113"/>
      <c r="AJ57" s="102"/>
      <c r="AK57" s="111"/>
      <c r="AL57" s="113"/>
      <c r="AM57" s="113"/>
      <c r="AN57" s="30"/>
      <c r="AO57" s="113"/>
      <c r="AQ57" s="113"/>
      <c r="AR57" s="113"/>
      <c r="AT57" s="30"/>
      <c r="AU57" s="30"/>
      <c r="AV57" s="30"/>
      <c r="AW57" s="30"/>
      <c r="AX57" s="113"/>
      <c r="AY57" s="111"/>
      <c r="AZ57" s="111"/>
      <c r="BA57" s="111"/>
      <c r="BB57" s="111"/>
    </row>
    <row r="58" spans="1:54" x14ac:dyDescent="0.25">
      <c r="F58" s="67" t="s">
        <v>6</v>
      </c>
      <c r="G58" s="67"/>
      <c r="H58" s="67"/>
      <c r="I58" s="68">
        <f>SUM(I12:I57)</f>
        <v>78535000</v>
      </c>
      <c r="J58" s="68">
        <f>SUM(J12:J57)</f>
        <v>55926563.125</v>
      </c>
      <c r="K58" s="103">
        <f t="shared" ref="K58:M58" si="113">SUM(K12:K57)</f>
        <v>0</v>
      </c>
      <c r="L58" s="103">
        <f t="shared" si="113"/>
        <v>-3178473.0049999999</v>
      </c>
      <c r="M58" s="68">
        <f t="shared" si="113"/>
        <v>131283090.12</v>
      </c>
      <c r="N58" s="60"/>
      <c r="O58" s="67" t="s">
        <v>6</v>
      </c>
      <c r="P58" s="67"/>
      <c r="Q58" s="67"/>
      <c r="R58" s="68">
        <f>SUM(R12:R57)</f>
        <v>78535000</v>
      </c>
      <c r="S58" s="68">
        <f>SUM(S12:S57)</f>
        <v>55926563.125</v>
      </c>
      <c r="T58" s="103">
        <f t="shared" ref="T58:V58" si="114">SUM(T12:T57)</f>
        <v>0</v>
      </c>
      <c r="U58" s="103">
        <f t="shared" si="114"/>
        <v>-3178473.0049999999</v>
      </c>
      <c r="V58" s="68">
        <f t="shared" si="114"/>
        <v>131283090.12</v>
      </c>
      <c r="W58" s="60"/>
      <c r="X58" s="67" t="s">
        <v>6</v>
      </c>
      <c r="Y58" s="68">
        <f>SUM(Y11:Y57)</f>
        <v>35705000</v>
      </c>
      <c r="Z58" s="68"/>
      <c r="AA58" s="68">
        <f>SUM(AA11:AA57)</f>
        <v>21254850</v>
      </c>
      <c r="AB58" s="103">
        <f>SUM(AB11:AB57)</f>
        <v>0</v>
      </c>
      <c r="AC58" s="103">
        <f>SUM(AC11:AC57)</f>
        <v>0</v>
      </c>
      <c r="AD58" s="68">
        <f>SUM(AD11:AD57)</f>
        <v>56959850</v>
      </c>
      <c r="AF58" s="67" t="s">
        <v>55</v>
      </c>
      <c r="AG58" s="68">
        <f>SUM(AG13:AG57)</f>
        <v>42830000</v>
      </c>
      <c r="AH58" s="68"/>
      <c r="AI58" s="68">
        <f>SUM(AI13:AI57)</f>
        <v>34671713.125</v>
      </c>
      <c r="AJ58" s="103">
        <f>SUM(AJ13:AJ57)</f>
        <v>0</v>
      </c>
      <c r="AK58" s="103">
        <f>SUM(AK13:AK57)</f>
        <v>-3178473.0049999999</v>
      </c>
      <c r="AL58" s="68">
        <f>SUM(AL13:AL57)</f>
        <v>74323240.120000005</v>
      </c>
      <c r="AM58" s="113"/>
      <c r="AN58" s="67" t="s">
        <v>55</v>
      </c>
      <c r="AO58" s="68">
        <f>SUM(AO13:AO56)</f>
        <v>16470000</v>
      </c>
      <c r="AP58" s="68"/>
      <c r="AQ58" s="68">
        <f t="shared" ref="AQ58:AT58" si="115">SUM(AQ13:AQ56)</f>
        <v>15718040.625</v>
      </c>
      <c r="AR58" s="103">
        <f t="shared" si="115"/>
        <v>0</v>
      </c>
      <c r="AS58" s="103">
        <f t="shared" si="115"/>
        <v>-979965.005</v>
      </c>
      <c r="AT58" s="68">
        <f t="shared" si="115"/>
        <v>31208075.620000001</v>
      </c>
      <c r="AU58" s="30"/>
      <c r="AV58" s="67" t="s">
        <v>55</v>
      </c>
      <c r="AW58" s="68">
        <f>SUM(AW13:AW56)</f>
        <v>26360000</v>
      </c>
      <c r="AX58" s="68"/>
      <c r="AY58" s="103">
        <f>SUM(AY13:AY56)</f>
        <v>18953672.5</v>
      </c>
      <c r="AZ58" s="103">
        <f t="shared" ref="AZ58:BA58" si="116">SUM(AZ13:AZ56)</f>
        <v>0</v>
      </c>
      <c r="BA58" s="103">
        <f t="shared" si="116"/>
        <v>-2198508</v>
      </c>
      <c r="BB58" s="103">
        <f>SUM(BB13:BB57)</f>
        <v>43115164.5</v>
      </c>
    </row>
    <row r="59" spans="1:54" x14ac:dyDescent="0.25">
      <c r="X59" s="69"/>
      <c r="Y59" s="70"/>
      <c r="Z59" s="70"/>
      <c r="AA59" s="70"/>
      <c r="AB59" s="70"/>
      <c r="AC59" s="60"/>
      <c r="AF59" s="30"/>
      <c r="AG59" s="30"/>
      <c r="AH59" s="30"/>
      <c r="AI59" s="30"/>
      <c r="AL59" s="113"/>
      <c r="AM59" s="113"/>
      <c r="AN59" s="113"/>
      <c r="AO59" s="113"/>
      <c r="AQ59" s="113"/>
      <c r="AR59" s="113"/>
      <c r="AT59" s="30"/>
      <c r="AU59" s="30"/>
      <c r="AV59" s="30"/>
      <c r="AW59" s="30"/>
      <c r="AX59" s="113"/>
      <c r="AY59" s="113"/>
      <c r="AZ59" s="113"/>
      <c r="BA59" s="113"/>
      <c r="BB59" s="113"/>
    </row>
    <row r="60" spans="1:54" x14ac:dyDescent="0.25">
      <c r="AF60" s="30"/>
      <c r="AG60" s="30"/>
      <c r="AH60" s="30"/>
      <c r="AI60" s="30"/>
      <c r="AK60" s="113"/>
      <c r="AL60" s="113"/>
      <c r="AM60" s="113"/>
      <c r="AN60" s="113"/>
      <c r="AO60" s="113"/>
      <c r="AP60" s="113"/>
      <c r="AQ60" s="113"/>
      <c r="AR60" s="113"/>
    </row>
    <row r="61" spans="1:54" x14ac:dyDescent="0.25">
      <c r="AF61" s="106"/>
      <c r="AG61" s="30"/>
      <c r="AI61" s="30"/>
      <c r="AO61" s="113"/>
      <c r="AP61" s="113"/>
      <c r="AQ61" s="113"/>
      <c r="AR61" s="32"/>
      <c r="AS61" s="32"/>
    </row>
  </sheetData>
  <phoneticPr fontId="0" type="noConversion"/>
  <printOptions horizontalCentered="1"/>
  <pageMargins left="0.5" right="0.5" top="0.75" bottom="0.75" header="0.3" footer="0.3"/>
  <pageSetup scale="83" fitToWidth="0" orientation="portrait" r:id="rId1"/>
  <colBreaks count="5" manualBreakCount="5">
    <brk id="14" max="57" man="1"/>
    <brk id="23" max="57" man="1"/>
    <brk id="31" max="57" man="1"/>
    <brk id="39" max="57" man="1"/>
    <brk id="47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23E4-BFF3-423B-8BBB-A3D67A795301}">
  <dimension ref="B1:HW60"/>
  <sheetViews>
    <sheetView view="pageBreakPreview" zoomScale="70" zoomScaleNormal="90" zoomScaleSheetLayoutView="70" workbookViewId="0">
      <selection activeCell="K44" sqref="K44"/>
    </sheetView>
  </sheetViews>
  <sheetFormatPr defaultColWidth="10.7109375" defaultRowHeight="13.2" x14ac:dyDescent="0.25"/>
  <cols>
    <col min="1" max="1" width="4" style="31" customWidth="1"/>
    <col min="2" max="2" width="26.5703125" style="31" customWidth="1"/>
    <col min="3" max="3" width="18.140625" style="31" bestFit="1" customWidth="1"/>
    <col min="4" max="4" width="12.42578125" style="31" customWidth="1"/>
    <col min="5" max="5" width="20.28515625" style="31" bestFit="1" customWidth="1"/>
    <col min="6" max="6" width="19.85546875" style="31" bestFit="1" customWidth="1"/>
    <col min="7" max="7" width="20.85546875" style="31" bestFit="1" customWidth="1"/>
    <col min="8" max="8" width="21.42578125" style="31" bestFit="1" customWidth="1"/>
    <col min="9" max="9" width="17.28515625" style="31" bestFit="1" customWidth="1"/>
    <col min="10" max="10" width="52.28515625" style="31" customWidth="1"/>
    <col min="11" max="11" width="16.42578125" style="31" customWidth="1"/>
    <col min="12" max="12" width="9.28515625" style="31" customWidth="1"/>
    <col min="13" max="13" width="18.42578125" style="31" customWidth="1"/>
    <col min="14" max="14" width="16.42578125" style="31" customWidth="1"/>
    <col min="15" max="15" width="15.5703125" style="31" customWidth="1"/>
    <col min="16" max="16" width="14" style="31" customWidth="1"/>
    <col min="17" max="17" width="5.7109375" style="31" customWidth="1"/>
    <col min="18" max="18" width="64.28515625" style="31" customWidth="1"/>
    <col min="19" max="19" width="10.140625" style="31" customWidth="1"/>
    <col min="20" max="20" width="9.140625" style="31" customWidth="1"/>
    <col min="21" max="21" width="17" style="31" customWidth="1"/>
    <col min="22" max="22" width="14.42578125" style="31" customWidth="1"/>
    <col min="23" max="23" width="15.42578125" style="31" customWidth="1"/>
    <col min="24" max="24" width="14.5703125" style="31" customWidth="1"/>
    <col min="25" max="25" width="5.7109375" style="31" customWidth="1"/>
    <col min="26" max="26" width="64.28515625" style="31" customWidth="1"/>
    <col min="27" max="27" width="17.85546875" style="31" customWidth="1"/>
    <col min="28" max="28" width="9.28515625" style="31" customWidth="1"/>
    <col min="29" max="29" width="19.7109375" style="31" customWidth="1"/>
    <col min="30" max="30" width="14.42578125" style="31" customWidth="1"/>
    <col min="31" max="31" width="18.7109375" style="31" customWidth="1"/>
    <col min="32" max="32" width="17.85546875" style="31" customWidth="1"/>
    <col min="33" max="33" width="16" style="31" customWidth="1"/>
    <col min="34" max="34" width="64.28515625" style="31" customWidth="1"/>
    <col min="35" max="35" width="10.5703125" style="31" customWidth="1"/>
    <col min="36" max="36" width="9.140625" style="31" customWidth="1"/>
    <col min="37" max="37" width="8.85546875" style="31" customWidth="1"/>
    <col min="38" max="38" width="14.42578125" style="31" customWidth="1"/>
    <col min="39" max="39" width="12.85546875" style="31" customWidth="1"/>
    <col min="40" max="40" width="14.140625" style="31" customWidth="1"/>
    <col min="41" max="41" width="5.7109375" style="31" customWidth="1"/>
    <col min="42" max="42" width="64.28515625" style="31" customWidth="1"/>
    <col min="43" max="43" width="10.5703125" style="31" customWidth="1"/>
    <col min="44" max="44" width="9.140625" style="31" customWidth="1"/>
    <col min="45" max="45" width="18.42578125" style="31" customWidth="1"/>
    <col min="46" max="46" width="14.42578125" style="31" customWidth="1"/>
    <col min="47" max="47" width="12.85546875" style="31" customWidth="1"/>
    <col min="48" max="48" width="16.42578125" style="31" customWidth="1"/>
    <col min="49" max="49" width="5.7109375" style="31" customWidth="1"/>
    <col min="50" max="50" width="64.28515625" style="31" customWidth="1"/>
    <col min="51" max="51" width="10.5703125" style="31" customWidth="1"/>
    <col min="52" max="52" width="9.140625" style="31" customWidth="1"/>
    <col min="53" max="53" width="18.42578125" style="31" customWidth="1"/>
    <col min="54" max="54" width="14.42578125" style="31" customWidth="1"/>
    <col min="55" max="55" width="12.85546875" style="31" customWidth="1"/>
    <col min="56" max="56" width="14.5703125" style="31" customWidth="1"/>
    <col min="57" max="57" width="5.7109375" style="31" customWidth="1"/>
    <col min="58" max="58" width="64.28515625" style="31" customWidth="1"/>
    <col min="59" max="59" width="10.5703125" style="31" customWidth="1"/>
    <col min="60" max="60" width="9.140625" style="31" customWidth="1"/>
    <col min="61" max="61" width="18.42578125" style="31" customWidth="1"/>
    <col min="62" max="62" width="14.42578125" style="31" customWidth="1"/>
    <col min="63" max="63" width="12.85546875" style="31" customWidth="1"/>
    <col min="64" max="64" width="14.5703125" style="31" customWidth="1"/>
    <col min="65" max="65" width="5.7109375" style="31" customWidth="1"/>
    <col min="66" max="66" width="64.28515625" style="31" customWidth="1"/>
    <col min="67" max="67" width="10.140625" style="31" customWidth="1"/>
    <col min="68" max="68" width="9.140625" style="31" customWidth="1"/>
    <col min="69" max="69" width="10.140625" style="31" customWidth="1"/>
    <col min="70" max="70" width="9.140625" style="31" customWidth="1"/>
    <col min="71" max="71" width="19.7109375" style="31" customWidth="1"/>
    <col min="72" max="72" width="14.28515625" style="31" customWidth="1"/>
    <col min="73" max="73" width="12.85546875" style="31" customWidth="1"/>
    <col min="74" max="74" width="17.85546875" style="31" customWidth="1"/>
    <col min="75" max="75" width="5.7109375" style="31" customWidth="1"/>
    <col min="76" max="76" width="64.28515625" style="31" customWidth="1"/>
    <col min="77" max="77" width="10.140625" style="31" customWidth="1"/>
    <col min="78" max="78" width="9.140625" style="31" customWidth="1"/>
    <col min="79" max="79" width="8.7109375" style="31" customWidth="1"/>
    <col min="80" max="80" width="14.28515625" style="31" customWidth="1"/>
    <col min="81" max="81" width="12.85546875" style="31" customWidth="1"/>
    <col min="82" max="82" width="14.140625" style="31" customWidth="1"/>
    <col min="83" max="83" width="5.7109375" style="31" customWidth="1"/>
    <col min="84" max="84" width="64.28515625" style="31" customWidth="1"/>
    <col min="85" max="85" width="10.5703125" style="31" customWidth="1"/>
    <col min="86" max="86" width="9.140625" style="31" customWidth="1"/>
    <col min="87" max="87" width="18.42578125" style="31" customWidth="1"/>
    <col min="88" max="88" width="14.42578125" style="31" customWidth="1"/>
    <col min="89" max="89" width="12.85546875" style="31" customWidth="1"/>
    <col min="90" max="90" width="16.42578125" style="31" customWidth="1"/>
    <col min="91" max="91" width="14.7109375" style="31" customWidth="1"/>
    <col min="92" max="92" width="64.28515625" style="31" customWidth="1"/>
    <col min="93" max="93" width="10.5703125" style="31" customWidth="1"/>
    <col min="94" max="94" width="9.140625" style="31" customWidth="1"/>
    <col min="95" max="95" width="18.42578125" style="31" customWidth="1"/>
    <col min="96" max="96" width="14.42578125" style="31" customWidth="1"/>
    <col min="97" max="97" width="16.42578125" style="31" customWidth="1"/>
    <col min="98" max="98" width="14.7109375" style="31" customWidth="1"/>
    <col min="99" max="99" width="64.28515625" style="31" customWidth="1"/>
    <col min="100" max="100" width="10.5703125" style="31" customWidth="1"/>
    <col min="101" max="101" width="9.140625" style="31" customWidth="1"/>
    <col min="102" max="102" width="16.42578125" style="31" customWidth="1"/>
    <col min="103" max="103" width="14.42578125" style="31" customWidth="1"/>
    <col min="104" max="104" width="16.42578125" style="31" customWidth="1"/>
    <col min="105" max="105" width="14.7109375" style="31" customWidth="1"/>
    <col min="106" max="106" width="64.28515625" style="31" customWidth="1"/>
    <col min="107" max="107" width="10.5703125" style="31" customWidth="1"/>
    <col min="108" max="108" width="9.140625" style="31" customWidth="1"/>
    <col min="109" max="110" width="16.42578125" style="31" customWidth="1"/>
    <col min="111" max="111" width="14.7109375" style="31" customWidth="1"/>
    <col min="112" max="112" width="64.28515625" style="31" customWidth="1"/>
    <col min="113" max="113" width="10.5703125" style="31" customWidth="1"/>
    <col min="114" max="114" width="9.28515625" style="31" customWidth="1"/>
    <col min="115" max="115" width="8.85546875" style="31" customWidth="1"/>
    <col min="116" max="116" width="14.140625" style="31" customWidth="1"/>
    <col min="117" max="117" width="5.7109375" style="31" customWidth="1"/>
    <col min="118" max="118" width="64.28515625" style="31" customWidth="1"/>
    <col min="119" max="119" width="17.85546875" style="31" customWidth="1"/>
    <col min="120" max="120" width="9.28515625" style="31" customWidth="1"/>
    <col min="121" max="121" width="14.5703125" style="31" customWidth="1"/>
    <col min="122" max="122" width="14.42578125" style="31" customWidth="1"/>
    <col min="123" max="123" width="17.85546875" style="31" customWidth="1"/>
    <col min="124" max="124" width="5.7109375" style="31" bestFit="1" customWidth="1"/>
    <col min="125" max="125" width="64.28515625" style="31" customWidth="1"/>
    <col min="126" max="126" width="10.140625" style="31" customWidth="1"/>
    <col min="127" max="127" width="9.140625" style="31" customWidth="1"/>
    <col min="128" max="128" width="8.7109375" style="31" customWidth="1"/>
    <col min="129" max="129" width="14" style="31" customWidth="1"/>
    <col min="130" max="130" width="10.7109375" style="31" customWidth="1"/>
    <col min="131" max="131" width="64.28515625" style="31" customWidth="1"/>
    <col min="132" max="132" width="10.140625" style="31" customWidth="1"/>
    <col min="133" max="133" width="9.140625" style="31" customWidth="1"/>
    <col min="134" max="134" width="8.7109375" style="31" customWidth="1"/>
    <col min="135" max="135" width="14.42578125" style="31" customWidth="1"/>
    <col min="136" max="136" width="14.140625" style="31" customWidth="1"/>
    <col min="137" max="137" width="5.7109375" style="31" customWidth="1"/>
    <col min="138" max="138" width="64.28515625" style="31" customWidth="1"/>
    <col min="139" max="139" width="10.140625" style="31" customWidth="1"/>
    <col min="140" max="140" width="9.140625" style="31" customWidth="1"/>
    <col min="141" max="141" width="8.7109375" style="31" customWidth="1"/>
    <col min="142" max="142" width="14.140625" style="31" customWidth="1"/>
    <col min="143" max="143" width="5.7109375" style="31" customWidth="1"/>
    <col min="144" max="144" width="64.28515625" style="31" customWidth="1"/>
    <col min="145" max="145" width="16.42578125" style="31" customWidth="1"/>
    <col min="146" max="146" width="9.140625" style="31" customWidth="1"/>
    <col min="147" max="147" width="8.7109375" style="31" customWidth="1"/>
    <col min="148" max="149" width="17.85546875" style="31" customWidth="1"/>
    <col min="150" max="150" width="16" style="31" customWidth="1"/>
    <col min="151" max="151" width="64.28515625" style="31" customWidth="1"/>
    <col min="152" max="152" width="16.42578125" style="31" customWidth="1"/>
    <col min="153" max="153" width="9.28515625" style="31" customWidth="1"/>
    <col min="154" max="154" width="14.5703125" style="31" customWidth="1"/>
    <col min="155" max="156" width="16.42578125" style="31" customWidth="1"/>
    <col min="157" max="157" width="5.7109375" style="31" customWidth="1"/>
    <col min="158" max="158" width="64.28515625" style="31" customWidth="1"/>
    <col min="159" max="159" width="10.140625" style="31" customWidth="1"/>
    <col min="160" max="160" width="9.140625" style="31" customWidth="1"/>
    <col min="161" max="161" width="8.7109375" style="31" customWidth="1"/>
    <col min="162" max="162" width="14" style="31" customWidth="1"/>
    <col min="163" max="163" width="10.7109375" style="31" customWidth="1"/>
    <col min="164" max="164" width="64.28515625" style="31" customWidth="1"/>
    <col min="165" max="165" width="16.42578125" style="31" customWidth="1"/>
    <col min="166" max="166" width="9.28515625" style="31" customWidth="1"/>
    <col min="167" max="167" width="18.42578125" style="31" customWidth="1"/>
    <col min="168" max="168" width="16.42578125" style="31" customWidth="1"/>
    <col min="169" max="169" width="14.7109375" style="31" customWidth="1"/>
    <col min="170" max="170" width="64.28515625" style="31" customWidth="1"/>
    <col min="171" max="171" width="16.42578125" style="31" customWidth="1"/>
    <col min="172" max="172" width="9.28515625" style="31" customWidth="1"/>
    <col min="173" max="173" width="15.7109375" style="31" customWidth="1"/>
    <col min="174" max="174" width="16.42578125" style="31" customWidth="1"/>
    <col min="175" max="175" width="14.7109375" style="31" customWidth="1"/>
    <col min="176" max="176" width="64.28515625" style="31" customWidth="1"/>
    <col min="177" max="177" width="16.42578125" style="31" customWidth="1"/>
    <col min="178" max="178" width="10.42578125" style="31" customWidth="1"/>
    <col min="179" max="179" width="8.85546875" style="31" customWidth="1"/>
    <col min="180" max="181" width="17.85546875" style="31" customWidth="1"/>
    <col min="182" max="182" width="16" style="31" customWidth="1"/>
    <col min="183" max="183" width="64.28515625" style="31" bestFit="1" customWidth="1"/>
    <col min="184" max="184" width="14.5703125" style="31" bestFit="1" customWidth="1"/>
    <col min="185" max="185" width="9.28515625" style="31" bestFit="1" customWidth="1"/>
    <col min="186" max="186" width="8.85546875" style="31" bestFit="1" customWidth="1"/>
    <col min="187" max="188" width="16.42578125" style="31" bestFit="1" customWidth="1"/>
    <col min="189" max="189" width="14.7109375" style="31" bestFit="1" customWidth="1"/>
    <col min="190" max="190" width="64.28515625" style="31" bestFit="1" customWidth="1"/>
    <col min="191" max="191" width="10.140625" style="31" bestFit="1" customWidth="1"/>
    <col min="192" max="192" width="9.140625" style="31" bestFit="1" customWidth="1"/>
    <col min="193" max="193" width="8.7109375" style="31" bestFit="1" customWidth="1"/>
    <col min="194" max="194" width="14.28515625" style="31" bestFit="1" customWidth="1"/>
    <col min="195" max="195" width="14.140625" style="31" bestFit="1" customWidth="1"/>
    <col min="196" max="196" width="5.7109375" style="31" bestFit="1" customWidth="1"/>
    <col min="197" max="197" width="64.28515625" style="31" bestFit="1" customWidth="1"/>
    <col min="198" max="198" width="10.140625" style="31" bestFit="1" customWidth="1"/>
    <col min="199" max="199" width="9.140625" style="31" bestFit="1" customWidth="1"/>
    <col min="200" max="200" width="8.7109375" style="31" bestFit="1" customWidth="1"/>
    <col min="201" max="201" width="14.28515625" style="31" bestFit="1" customWidth="1"/>
    <col min="202" max="202" width="14.140625" style="31" bestFit="1" customWidth="1"/>
    <col min="203" max="16384" width="10.7109375" style="31"/>
  </cols>
  <sheetData>
    <row r="1" spans="2:231" x14ac:dyDescent="0.25"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</row>
    <row r="2" spans="2:231" ht="17.399999999999999" x14ac:dyDescent="0.3">
      <c r="B2" s="74" t="s">
        <v>71</v>
      </c>
      <c r="C2" s="59"/>
      <c r="D2" s="59"/>
      <c r="E2" s="59"/>
      <c r="F2" s="59"/>
      <c r="G2" s="59"/>
      <c r="H2" s="119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</row>
    <row r="3" spans="2:231" ht="15.6" x14ac:dyDescent="0.3">
      <c r="B3" s="73" t="s">
        <v>97</v>
      </c>
      <c r="C3" s="75"/>
      <c r="D3" s="75"/>
      <c r="E3" s="75"/>
      <c r="F3" s="75"/>
      <c r="G3" s="75"/>
      <c r="H3" s="119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</row>
    <row r="4" spans="2:231" ht="15.6" x14ac:dyDescent="0.3">
      <c r="B4" s="52"/>
      <c r="C4" s="52"/>
      <c r="D4" s="52"/>
      <c r="E4" s="52"/>
      <c r="F4" s="119"/>
      <c r="G4" s="119"/>
      <c r="H4" s="119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</row>
    <row r="5" spans="2:231" x14ac:dyDescent="0.25">
      <c r="B5" s="120" t="s">
        <v>0</v>
      </c>
      <c r="C5" s="120"/>
      <c r="D5" s="121"/>
      <c r="E5" s="121"/>
      <c r="F5" s="121"/>
      <c r="G5" s="121"/>
      <c r="H5" s="121"/>
      <c r="J5" s="122"/>
      <c r="K5" s="122"/>
      <c r="L5" s="122"/>
      <c r="M5" s="123"/>
      <c r="N5" s="122"/>
      <c r="O5" s="122"/>
      <c r="P5" s="122"/>
      <c r="Q5" s="122"/>
      <c r="R5" s="118"/>
      <c r="S5" s="66"/>
      <c r="T5" s="122"/>
      <c r="U5" s="123"/>
      <c r="V5" s="122"/>
      <c r="W5" s="122"/>
      <c r="X5" s="122"/>
      <c r="Y5" s="122"/>
      <c r="Z5" s="118"/>
      <c r="AA5" s="66"/>
      <c r="AB5" s="122"/>
      <c r="AC5" s="123"/>
      <c r="AD5" s="122"/>
      <c r="AE5" s="122"/>
      <c r="AF5" s="122"/>
      <c r="AG5" s="122"/>
      <c r="AH5" s="118"/>
      <c r="AI5" s="66"/>
      <c r="AJ5" s="122"/>
      <c r="AK5" s="123"/>
      <c r="AL5" s="122"/>
      <c r="AM5" s="122"/>
      <c r="AN5" s="122"/>
      <c r="AO5" s="122"/>
      <c r="AP5" s="118"/>
      <c r="AQ5" s="66"/>
      <c r="AR5" s="122"/>
      <c r="AS5" s="123"/>
      <c r="AT5" s="122"/>
      <c r="AU5" s="122"/>
      <c r="AV5" s="122"/>
      <c r="AW5" s="122"/>
      <c r="AX5" s="118"/>
      <c r="AY5" s="66"/>
      <c r="AZ5" s="122"/>
      <c r="BA5" s="124"/>
      <c r="BB5" s="122"/>
      <c r="BC5" s="122"/>
      <c r="BD5" s="122"/>
      <c r="BE5" s="122"/>
      <c r="BF5" s="118"/>
      <c r="BG5" s="66"/>
      <c r="BH5" s="122"/>
      <c r="BI5" s="124"/>
      <c r="BJ5" s="122"/>
      <c r="BK5" s="122"/>
      <c r="BL5" s="122"/>
      <c r="BM5" s="122"/>
      <c r="BN5" s="118"/>
      <c r="BO5" s="66"/>
      <c r="BP5" s="122"/>
      <c r="BQ5" s="123"/>
      <c r="BR5" s="122"/>
      <c r="BS5" s="123"/>
      <c r="BT5" s="122"/>
      <c r="BU5" s="122"/>
      <c r="BV5" s="122"/>
      <c r="BW5" s="122"/>
      <c r="BX5" s="118"/>
      <c r="BY5" s="66"/>
      <c r="BZ5" s="122"/>
      <c r="CA5" s="123"/>
      <c r="CB5" s="122"/>
      <c r="CC5" s="122"/>
      <c r="CD5" s="122"/>
      <c r="CE5" s="122"/>
      <c r="CF5" s="118"/>
      <c r="CG5" s="66"/>
      <c r="CH5" s="122"/>
      <c r="CI5" s="123"/>
      <c r="CJ5" s="122"/>
      <c r="CK5" s="122"/>
      <c r="CL5" s="122"/>
      <c r="CM5" s="122"/>
      <c r="CN5" s="118"/>
      <c r="CO5" s="66"/>
      <c r="CP5" s="122"/>
      <c r="CQ5" s="123"/>
      <c r="CR5" s="122"/>
      <c r="CS5" s="122"/>
      <c r="CT5" s="122"/>
      <c r="CU5" s="118"/>
      <c r="CV5" s="66"/>
      <c r="CW5" s="122"/>
      <c r="CX5" s="122"/>
      <c r="CY5" s="122"/>
      <c r="CZ5" s="122"/>
      <c r="DA5" s="122"/>
      <c r="DB5" s="118"/>
      <c r="DC5" s="66"/>
      <c r="DD5" s="122"/>
      <c r="DE5" s="122"/>
      <c r="DF5" s="122"/>
      <c r="DG5" s="122"/>
      <c r="DH5" s="118"/>
      <c r="DI5" s="66"/>
      <c r="DJ5" s="122"/>
      <c r="DK5" s="125"/>
      <c r="DL5" s="122"/>
      <c r="DM5" s="122"/>
      <c r="DN5" s="118"/>
      <c r="DO5" s="66"/>
      <c r="DP5" s="122"/>
      <c r="DQ5" s="125"/>
      <c r="DR5" s="122"/>
      <c r="DS5" s="122"/>
      <c r="DT5" s="122"/>
      <c r="DU5" s="118"/>
      <c r="DV5" s="66"/>
      <c r="DW5" s="126"/>
      <c r="DX5" s="127"/>
      <c r="DY5" s="128"/>
      <c r="DZ5" s="118"/>
      <c r="EA5" s="118"/>
      <c r="EB5" s="66"/>
      <c r="EC5" s="122"/>
      <c r="ED5" s="125"/>
      <c r="EE5" s="122"/>
      <c r="EF5" s="122"/>
      <c r="EG5" s="122"/>
      <c r="EH5" s="118"/>
      <c r="EI5" s="66"/>
      <c r="EJ5" s="122"/>
      <c r="EK5" s="125"/>
      <c r="EL5" s="122"/>
      <c r="EM5" s="122"/>
      <c r="EN5" s="118"/>
      <c r="EO5" s="66"/>
      <c r="EP5" s="122"/>
      <c r="EQ5" s="125"/>
      <c r="ER5" s="122"/>
      <c r="ES5" s="122"/>
      <c r="ET5" s="122"/>
      <c r="EU5" s="118"/>
      <c r="EV5" s="66"/>
      <c r="EW5" s="122"/>
      <c r="EX5" s="125"/>
      <c r="EY5" s="122"/>
      <c r="EZ5" s="122"/>
      <c r="FA5" s="122"/>
      <c r="FB5" s="118"/>
      <c r="FC5" s="66"/>
      <c r="FD5" s="118"/>
      <c r="FE5" s="118"/>
      <c r="FF5" s="118"/>
      <c r="FG5" s="118"/>
      <c r="FH5" s="118"/>
      <c r="FI5" s="66"/>
      <c r="FJ5" s="122"/>
      <c r="FK5" s="125"/>
      <c r="FL5" s="122"/>
      <c r="FM5" s="122"/>
      <c r="FN5" s="118"/>
      <c r="FO5" s="66"/>
      <c r="FP5" s="122"/>
      <c r="FQ5" s="125"/>
      <c r="FR5" s="122"/>
      <c r="FS5" s="122"/>
      <c r="FT5" s="118"/>
      <c r="FU5" s="66"/>
      <c r="FV5" s="122"/>
      <c r="FW5" s="125"/>
      <c r="FX5" s="122"/>
      <c r="FY5" s="122"/>
      <c r="FZ5" s="122"/>
      <c r="GA5" s="118"/>
      <c r="GB5" s="66"/>
      <c r="GC5" s="122"/>
      <c r="GD5" s="125"/>
      <c r="GE5" s="122"/>
      <c r="GF5" s="122"/>
      <c r="GG5" s="122"/>
      <c r="GH5" s="118"/>
      <c r="GI5" s="66"/>
      <c r="GJ5" s="118"/>
      <c r="GK5" s="118"/>
      <c r="GL5" s="118"/>
      <c r="GM5" s="118"/>
      <c r="GN5" s="122"/>
      <c r="GO5" s="118"/>
      <c r="GP5" s="66"/>
      <c r="GQ5" s="118"/>
      <c r="GR5" s="118"/>
      <c r="GS5" s="118"/>
      <c r="GT5" s="118"/>
      <c r="GU5" s="32"/>
    </row>
    <row r="6" spans="2:231" x14ac:dyDescent="0.25">
      <c r="B6" s="129" t="s">
        <v>94</v>
      </c>
      <c r="C6" s="129"/>
      <c r="D6" s="130"/>
      <c r="E6" s="130"/>
      <c r="F6" s="130"/>
      <c r="G6" s="130"/>
      <c r="H6" s="130"/>
      <c r="J6" s="123"/>
      <c r="K6" s="123"/>
      <c r="L6" s="122"/>
      <c r="M6" s="123"/>
      <c r="N6" s="122"/>
      <c r="O6" s="122"/>
      <c r="P6" s="122"/>
      <c r="Q6" s="122"/>
      <c r="R6" s="118"/>
      <c r="S6" s="66"/>
      <c r="T6" s="122"/>
      <c r="U6" s="123"/>
      <c r="V6" s="122"/>
      <c r="W6" s="122"/>
      <c r="X6" s="122"/>
      <c r="Y6" s="122"/>
      <c r="Z6" s="118"/>
      <c r="AA6" s="66"/>
      <c r="AB6" s="122"/>
      <c r="AC6" s="123"/>
      <c r="AD6" s="122"/>
      <c r="AE6" s="122"/>
      <c r="AF6" s="122"/>
      <c r="AG6" s="122"/>
      <c r="AH6" s="118"/>
      <c r="AI6" s="66"/>
      <c r="AJ6" s="122"/>
      <c r="AK6" s="123"/>
      <c r="AL6" s="122"/>
      <c r="AM6" s="122"/>
      <c r="AN6" s="122"/>
      <c r="AO6" s="122"/>
      <c r="AP6" s="118"/>
      <c r="AQ6" s="66"/>
      <c r="AR6" s="122"/>
      <c r="AS6" s="123"/>
      <c r="AT6" s="122"/>
      <c r="AU6" s="122"/>
      <c r="AV6" s="122"/>
      <c r="AW6" s="122"/>
      <c r="AX6" s="118"/>
      <c r="AY6" s="66"/>
      <c r="AZ6" s="122"/>
      <c r="BA6" s="124"/>
      <c r="BB6" s="122"/>
      <c r="BC6" s="122"/>
      <c r="BD6" s="122"/>
      <c r="BE6" s="122"/>
      <c r="BF6" s="118"/>
      <c r="BG6" s="66"/>
      <c r="BH6" s="122"/>
      <c r="BI6" s="124"/>
      <c r="BJ6" s="122"/>
      <c r="BK6" s="122"/>
      <c r="BL6" s="122"/>
      <c r="BM6" s="122"/>
      <c r="BN6" s="118"/>
      <c r="BO6" s="66"/>
      <c r="BP6" s="122"/>
      <c r="BQ6" s="123"/>
      <c r="BR6" s="122"/>
      <c r="BS6" s="123"/>
      <c r="BT6" s="122"/>
      <c r="BU6" s="122"/>
      <c r="BV6" s="122"/>
      <c r="BW6" s="122"/>
      <c r="BX6" s="118"/>
      <c r="BY6" s="66"/>
      <c r="BZ6" s="122"/>
      <c r="CA6" s="123"/>
      <c r="CB6" s="122"/>
      <c r="CC6" s="122"/>
      <c r="CD6" s="122"/>
      <c r="CE6" s="122"/>
      <c r="CF6" s="118"/>
      <c r="CG6" s="66"/>
      <c r="CH6" s="122"/>
      <c r="CI6" s="123"/>
      <c r="CJ6" s="122"/>
      <c r="CK6" s="122"/>
      <c r="CL6" s="122"/>
      <c r="CM6" s="122"/>
      <c r="CN6" s="118"/>
      <c r="CO6" s="66"/>
      <c r="CP6" s="122"/>
      <c r="CQ6" s="123"/>
      <c r="CR6" s="122"/>
      <c r="CS6" s="122"/>
      <c r="CT6" s="122"/>
      <c r="CU6" s="118"/>
      <c r="CV6" s="66"/>
      <c r="CW6" s="122"/>
      <c r="CX6" s="122"/>
      <c r="CY6" s="122"/>
      <c r="CZ6" s="122"/>
      <c r="DA6" s="122"/>
      <c r="DB6" s="118"/>
      <c r="DC6" s="66"/>
      <c r="DD6" s="122"/>
      <c r="DE6" s="122"/>
      <c r="DF6" s="122"/>
      <c r="DG6" s="122"/>
      <c r="DH6" s="118"/>
      <c r="DI6" s="66"/>
      <c r="DJ6" s="122"/>
      <c r="DK6" s="125"/>
      <c r="DL6" s="122"/>
      <c r="DM6" s="122"/>
      <c r="DN6" s="118"/>
      <c r="DO6" s="66"/>
      <c r="DP6" s="122"/>
      <c r="DQ6" s="125"/>
      <c r="DR6" s="122"/>
      <c r="DS6" s="122"/>
      <c r="DT6" s="122"/>
      <c r="DU6" s="118"/>
      <c r="DV6" s="66"/>
      <c r="DW6" s="128"/>
      <c r="DX6" s="127"/>
      <c r="DY6" s="128"/>
      <c r="DZ6" s="118"/>
      <c r="EA6" s="118"/>
      <c r="EB6" s="66"/>
      <c r="EC6" s="122"/>
      <c r="ED6" s="125"/>
      <c r="EE6" s="122"/>
      <c r="EF6" s="122"/>
      <c r="EG6" s="122"/>
      <c r="EH6" s="118"/>
      <c r="EI6" s="66"/>
      <c r="EJ6" s="122"/>
      <c r="EK6" s="125"/>
      <c r="EL6" s="122"/>
      <c r="EM6" s="122"/>
      <c r="EN6" s="118"/>
      <c r="EO6" s="66"/>
      <c r="EP6" s="122"/>
      <c r="EQ6" s="125"/>
      <c r="ER6" s="122"/>
      <c r="ES6" s="122"/>
      <c r="ET6" s="122"/>
      <c r="EU6" s="118"/>
      <c r="EV6" s="66"/>
      <c r="EW6" s="118"/>
      <c r="EX6" s="125"/>
      <c r="EY6" s="118"/>
      <c r="EZ6" s="118"/>
      <c r="FA6" s="122"/>
      <c r="FB6" s="118"/>
      <c r="FC6" s="66"/>
      <c r="FD6" s="118"/>
      <c r="FE6" s="118"/>
      <c r="FF6" s="118"/>
      <c r="FG6" s="118"/>
      <c r="FH6" s="118"/>
      <c r="FI6" s="66"/>
      <c r="FJ6" s="122"/>
      <c r="FK6" s="125"/>
      <c r="FL6" s="122"/>
      <c r="FM6" s="122"/>
      <c r="FN6" s="118"/>
      <c r="FO6" s="66"/>
      <c r="FP6" s="122"/>
      <c r="FQ6" s="125"/>
      <c r="FR6" s="122"/>
      <c r="FS6" s="122"/>
      <c r="FT6" s="118"/>
      <c r="FU6" s="66"/>
      <c r="FV6" s="122"/>
      <c r="FW6" s="125"/>
      <c r="FX6" s="122"/>
      <c r="FY6" s="122"/>
      <c r="FZ6" s="122"/>
      <c r="GA6" s="118"/>
      <c r="GB6" s="66"/>
      <c r="GC6" s="122"/>
      <c r="GD6" s="125"/>
      <c r="GE6" s="122"/>
      <c r="GF6" s="122"/>
      <c r="GG6" s="122"/>
      <c r="GH6" s="118"/>
      <c r="GI6" s="66"/>
      <c r="GJ6" s="118"/>
      <c r="GK6" s="118"/>
      <c r="GL6" s="118"/>
      <c r="GM6" s="118"/>
      <c r="GN6" s="122"/>
      <c r="GO6" s="118"/>
      <c r="GP6" s="66"/>
      <c r="GQ6" s="118"/>
      <c r="GR6" s="118"/>
      <c r="GS6" s="118"/>
      <c r="GT6" s="118"/>
      <c r="GU6" s="32"/>
    </row>
    <row r="7" spans="2:231" x14ac:dyDescent="0.25">
      <c r="B7" s="61"/>
      <c r="C7" s="54"/>
      <c r="D7" s="54"/>
      <c r="E7" s="54"/>
      <c r="F7" s="54"/>
      <c r="G7" s="54"/>
      <c r="H7" s="54"/>
      <c r="J7" s="122"/>
      <c r="K7" s="122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</row>
    <row r="8" spans="2:231" x14ac:dyDescent="0.25">
      <c r="B8" s="58" t="s">
        <v>58</v>
      </c>
      <c r="F8" s="62" t="s">
        <v>5</v>
      </c>
      <c r="G8" s="62" t="s">
        <v>9</v>
      </c>
      <c r="J8" s="122"/>
      <c r="K8" s="122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</row>
    <row r="9" spans="2:231" ht="13.8" thickBot="1" x14ac:dyDescent="0.3">
      <c r="B9" s="63" t="s">
        <v>14</v>
      </c>
      <c r="C9" s="64" t="s">
        <v>1</v>
      </c>
      <c r="D9" s="64" t="s">
        <v>2</v>
      </c>
      <c r="E9" s="64" t="s">
        <v>3</v>
      </c>
      <c r="F9" s="64" t="s">
        <v>3</v>
      </c>
      <c r="G9" s="64" t="s">
        <v>3</v>
      </c>
      <c r="H9" s="64" t="s">
        <v>4</v>
      </c>
      <c r="J9" s="122"/>
      <c r="K9" s="122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</row>
    <row r="10" spans="2:231" x14ac:dyDescent="0.25">
      <c r="B10" s="58"/>
      <c r="C10" s="62"/>
      <c r="D10" s="62"/>
      <c r="E10" s="62"/>
      <c r="F10" s="62"/>
      <c r="G10" s="62"/>
      <c r="H10" s="62"/>
      <c r="J10" s="122"/>
      <c r="K10" s="122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</row>
    <row r="11" spans="2:231" x14ac:dyDescent="0.25">
      <c r="B11" s="66">
        <f>+'Series Detail'!AN12</f>
        <v>45275</v>
      </c>
      <c r="C11" s="102">
        <f>+'Series Detail'!AO12</f>
        <v>0</v>
      </c>
      <c r="D11" s="131">
        <f>+'Series Detail'!AP12</f>
        <v>0</v>
      </c>
      <c r="E11" s="102">
        <f>+'Series Detail'!AQ12</f>
        <v>0</v>
      </c>
      <c r="F11" s="102">
        <f>+'Series Detail'!AR12</f>
        <v>0</v>
      </c>
      <c r="G11" s="102">
        <f>+'Series Detail'!AS12</f>
        <v>0</v>
      </c>
      <c r="H11" s="102">
        <f>+C11+E11+F11+G11</f>
        <v>0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</row>
    <row r="12" spans="2:231" x14ac:dyDescent="0.25">
      <c r="B12" s="66">
        <f>+'Series Detail'!AN13</f>
        <v>45458</v>
      </c>
      <c r="C12" s="102">
        <f>+'Series Detail'!AO13</f>
        <v>0</v>
      </c>
      <c r="D12" s="131">
        <f>+'Series Detail'!AP13</f>
        <v>5.2499999999999998E-2</v>
      </c>
      <c r="E12" s="102">
        <f>+'Series Detail'!AQ13</f>
        <v>372290.625</v>
      </c>
      <c r="F12" s="102">
        <f>+'Series Detail'!AR13</f>
        <v>0</v>
      </c>
      <c r="G12" s="102">
        <f>+'Series Detail'!AS13</f>
        <v>-372290.625</v>
      </c>
      <c r="H12" s="102">
        <f>+C12+E12+F12+G12</f>
        <v>0</v>
      </c>
      <c r="J12" s="66"/>
      <c r="K12" s="132"/>
      <c r="L12" s="133"/>
      <c r="M12" s="132"/>
      <c r="N12" s="132"/>
      <c r="O12" s="132"/>
      <c r="P12" s="132"/>
      <c r="Q12" s="118"/>
      <c r="R12" s="66"/>
      <c r="S12" s="132"/>
      <c r="T12" s="133"/>
      <c r="U12" s="132"/>
      <c r="V12" s="132"/>
      <c r="W12" s="132"/>
      <c r="X12" s="132"/>
      <c r="Y12" s="134"/>
      <c r="Z12" s="66"/>
      <c r="AA12" s="132"/>
      <c r="AB12" s="133"/>
      <c r="AC12" s="132"/>
      <c r="AD12" s="132"/>
      <c r="AE12" s="132"/>
      <c r="AF12" s="132"/>
      <c r="AG12" s="134"/>
      <c r="AH12" s="66"/>
      <c r="AI12" s="132"/>
      <c r="AJ12" s="133"/>
      <c r="AK12" s="132"/>
      <c r="AL12" s="132"/>
      <c r="AM12" s="132"/>
      <c r="AN12" s="132"/>
      <c r="AO12" s="134"/>
      <c r="AP12" s="66"/>
      <c r="AQ12" s="132"/>
      <c r="AR12" s="133"/>
      <c r="AS12" s="132"/>
      <c r="AT12" s="132"/>
      <c r="AU12" s="132"/>
      <c r="AV12" s="132"/>
      <c r="AW12" s="134"/>
      <c r="AX12" s="66"/>
      <c r="AY12" s="132"/>
      <c r="AZ12" s="133"/>
      <c r="BA12" s="132"/>
      <c r="BB12" s="132"/>
      <c r="BC12" s="132"/>
      <c r="BD12" s="132"/>
      <c r="BE12" s="134"/>
      <c r="BF12" s="66"/>
      <c r="BG12" s="132"/>
      <c r="BH12" s="133"/>
      <c r="BI12" s="132"/>
      <c r="BJ12" s="132"/>
      <c r="BK12" s="132"/>
      <c r="BL12" s="132"/>
      <c r="BM12" s="134"/>
      <c r="BN12" s="66"/>
      <c r="BO12" s="132"/>
      <c r="BP12" s="133"/>
      <c r="BQ12" s="132"/>
      <c r="BR12" s="132"/>
      <c r="BS12" s="132"/>
      <c r="BT12" s="132"/>
      <c r="BU12" s="134"/>
      <c r="BV12" s="134"/>
      <c r="BW12" s="134"/>
      <c r="BX12" s="66"/>
      <c r="BY12" s="134"/>
      <c r="BZ12" s="134"/>
      <c r="CA12" s="134"/>
      <c r="CB12" s="134"/>
      <c r="CC12" s="134"/>
      <c r="CD12" s="134"/>
      <c r="CE12" s="134"/>
      <c r="CF12" s="66"/>
      <c r="CG12" s="134"/>
      <c r="CH12" s="134"/>
      <c r="CI12" s="134"/>
      <c r="CJ12" s="134"/>
      <c r="CK12" s="134"/>
      <c r="CL12" s="134"/>
      <c r="CM12" s="134"/>
      <c r="CN12" s="66"/>
      <c r="CO12" s="134"/>
      <c r="CP12" s="134"/>
      <c r="CQ12" s="134"/>
      <c r="CR12" s="134"/>
      <c r="CS12" s="134"/>
      <c r="CT12" s="134"/>
      <c r="CU12" s="66"/>
      <c r="CV12" s="134"/>
      <c r="CW12" s="134"/>
      <c r="CX12" s="134"/>
      <c r="CY12" s="134"/>
      <c r="CZ12" s="134"/>
      <c r="DA12" s="134"/>
      <c r="DB12" s="66"/>
      <c r="DC12" s="134"/>
      <c r="DD12" s="134"/>
      <c r="DE12" s="134"/>
      <c r="DF12" s="134"/>
      <c r="DG12" s="134"/>
      <c r="DH12" s="66"/>
      <c r="DI12" s="134"/>
      <c r="DJ12" s="134"/>
      <c r="DK12" s="134"/>
      <c r="DL12" s="134"/>
      <c r="DM12" s="134"/>
      <c r="DN12" s="66"/>
      <c r="DO12" s="134"/>
      <c r="DP12" s="134"/>
      <c r="DQ12" s="134"/>
      <c r="DR12" s="134"/>
      <c r="DS12" s="134"/>
      <c r="DT12" s="134"/>
      <c r="DU12" s="66"/>
      <c r="DV12" s="134"/>
      <c r="DW12" s="134"/>
      <c r="DX12" s="134"/>
      <c r="DY12" s="134"/>
      <c r="DZ12" s="134"/>
      <c r="EA12" s="66"/>
      <c r="EB12" s="134"/>
      <c r="EC12" s="134"/>
      <c r="ED12" s="134"/>
      <c r="EE12" s="134"/>
      <c r="EF12" s="134"/>
      <c r="EG12" s="134"/>
      <c r="EH12" s="66"/>
      <c r="EI12" s="134"/>
      <c r="EJ12" s="134"/>
      <c r="EK12" s="134"/>
      <c r="EL12" s="134"/>
      <c r="EM12" s="134"/>
      <c r="EN12" s="66"/>
      <c r="EO12" s="134"/>
      <c r="EP12" s="134"/>
      <c r="EQ12" s="134"/>
      <c r="ER12" s="134"/>
      <c r="ES12" s="134"/>
      <c r="ET12" s="134"/>
      <c r="EU12" s="66"/>
      <c r="EV12" s="134"/>
      <c r="EW12" s="134"/>
      <c r="EX12" s="134"/>
      <c r="EY12" s="134"/>
      <c r="EZ12" s="134"/>
      <c r="FA12" s="134"/>
      <c r="FB12" s="66"/>
      <c r="FC12" s="134"/>
      <c r="FD12" s="134"/>
      <c r="FE12" s="134"/>
      <c r="FF12" s="134"/>
      <c r="FG12" s="134"/>
      <c r="FH12" s="66"/>
      <c r="FI12" s="134"/>
      <c r="FJ12" s="134"/>
      <c r="FK12" s="134"/>
      <c r="FL12" s="134"/>
      <c r="FM12" s="134"/>
      <c r="FN12" s="66"/>
      <c r="FO12" s="134"/>
      <c r="FP12" s="134"/>
      <c r="FQ12" s="134"/>
      <c r="FR12" s="134"/>
      <c r="FS12" s="134"/>
      <c r="FT12" s="66"/>
      <c r="FU12" s="134"/>
      <c r="FV12" s="134"/>
      <c r="FW12" s="134"/>
      <c r="FX12" s="134"/>
      <c r="FY12" s="134"/>
      <c r="FZ12" s="134"/>
      <c r="GA12" s="66"/>
      <c r="GB12" s="134"/>
      <c r="GC12" s="134"/>
      <c r="GD12" s="134"/>
      <c r="GE12" s="134"/>
      <c r="GF12" s="134"/>
      <c r="GG12" s="134"/>
      <c r="GH12" s="66"/>
      <c r="GI12" s="134"/>
      <c r="GJ12" s="134"/>
      <c r="GK12" s="134"/>
      <c r="GL12" s="134"/>
      <c r="GM12" s="134"/>
      <c r="GN12" s="134"/>
      <c r="GO12" s="66"/>
      <c r="GP12" s="134"/>
      <c r="GQ12" s="134"/>
      <c r="GR12" s="134"/>
      <c r="GS12" s="134"/>
      <c r="GT12" s="134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</row>
    <row r="13" spans="2:231" ht="15.6" x14ac:dyDescent="0.3">
      <c r="B13" s="52"/>
      <c r="C13" s="148"/>
      <c r="D13" s="52"/>
      <c r="E13" s="148"/>
      <c r="F13" s="148"/>
      <c r="G13" s="148"/>
      <c r="H13" s="148"/>
      <c r="J13" s="66"/>
      <c r="K13" s="132"/>
      <c r="L13" s="133"/>
      <c r="M13" s="132"/>
      <c r="N13" s="132"/>
      <c r="O13" s="132"/>
      <c r="P13" s="132"/>
      <c r="Q13" s="118"/>
      <c r="R13" s="66"/>
      <c r="S13" s="132"/>
      <c r="T13" s="133"/>
      <c r="U13" s="132"/>
      <c r="V13" s="132"/>
      <c r="W13" s="132"/>
      <c r="X13" s="132"/>
      <c r="Y13" s="134"/>
      <c r="Z13" s="66"/>
      <c r="AA13" s="132"/>
      <c r="AB13" s="133"/>
      <c r="AC13" s="132"/>
      <c r="AD13" s="132"/>
      <c r="AE13" s="132"/>
      <c r="AF13" s="132"/>
      <c r="AG13" s="134"/>
      <c r="AH13" s="66"/>
      <c r="AI13" s="132"/>
      <c r="AJ13" s="133"/>
      <c r="AK13" s="132"/>
      <c r="AL13" s="132"/>
      <c r="AM13" s="132"/>
      <c r="AN13" s="132"/>
      <c r="AO13" s="134"/>
      <c r="AP13" s="66"/>
      <c r="AQ13" s="132"/>
      <c r="AR13" s="133"/>
      <c r="AS13" s="132"/>
      <c r="AT13" s="132"/>
      <c r="AU13" s="132"/>
      <c r="AV13" s="132"/>
      <c r="AW13" s="134"/>
      <c r="AX13" s="66"/>
      <c r="AY13" s="132"/>
      <c r="AZ13" s="133"/>
      <c r="BA13" s="132"/>
      <c r="BB13" s="132"/>
      <c r="BC13" s="132"/>
      <c r="BD13" s="132"/>
      <c r="BE13" s="134"/>
      <c r="BF13" s="66"/>
      <c r="BG13" s="132"/>
      <c r="BH13" s="133"/>
      <c r="BI13" s="132"/>
      <c r="BJ13" s="132"/>
      <c r="BK13" s="132"/>
      <c r="BL13" s="132"/>
      <c r="BM13" s="134"/>
      <c r="BN13" s="66"/>
      <c r="BO13" s="132"/>
      <c r="BP13" s="133"/>
      <c r="BQ13" s="132"/>
      <c r="BR13" s="132"/>
      <c r="BS13" s="132"/>
      <c r="BT13" s="132"/>
      <c r="BU13" s="134"/>
      <c r="BV13" s="134"/>
      <c r="BW13" s="134"/>
      <c r="BX13" s="66"/>
      <c r="BY13" s="134"/>
      <c r="BZ13" s="134"/>
      <c r="CA13" s="134"/>
      <c r="CB13" s="134"/>
      <c r="CC13" s="134"/>
      <c r="CD13" s="134"/>
      <c r="CE13" s="134"/>
      <c r="CF13" s="66"/>
      <c r="CG13" s="134"/>
      <c r="CH13" s="134"/>
      <c r="CI13" s="134"/>
      <c r="CJ13" s="134"/>
      <c r="CK13" s="134"/>
      <c r="CL13" s="134"/>
      <c r="CM13" s="134"/>
      <c r="CN13" s="66"/>
      <c r="CO13" s="134"/>
      <c r="CP13" s="134"/>
      <c r="CQ13" s="134"/>
      <c r="CR13" s="134"/>
      <c r="CS13" s="134"/>
      <c r="CT13" s="134"/>
      <c r="CU13" s="66"/>
      <c r="CV13" s="134"/>
      <c r="CW13" s="134"/>
      <c r="CX13" s="134"/>
      <c r="CY13" s="134"/>
      <c r="CZ13" s="134"/>
      <c r="DA13" s="134"/>
      <c r="DB13" s="66"/>
      <c r="DC13" s="134"/>
      <c r="DD13" s="134"/>
      <c r="DE13" s="134"/>
      <c r="DF13" s="134"/>
      <c r="DG13" s="134"/>
      <c r="DH13" s="66"/>
      <c r="DI13" s="134"/>
      <c r="DJ13" s="134"/>
      <c r="DK13" s="134"/>
      <c r="DL13" s="134"/>
      <c r="DM13" s="134"/>
      <c r="DN13" s="66"/>
      <c r="DO13" s="134"/>
      <c r="DP13" s="134"/>
      <c r="DQ13" s="134"/>
      <c r="DR13" s="134"/>
      <c r="DS13" s="134"/>
      <c r="DT13" s="134"/>
      <c r="DU13" s="66"/>
      <c r="DV13" s="134"/>
      <c r="DW13" s="134"/>
      <c r="DX13" s="134"/>
      <c r="DY13" s="134"/>
      <c r="DZ13" s="134"/>
      <c r="EA13" s="66"/>
      <c r="EB13" s="134"/>
      <c r="EC13" s="134"/>
      <c r="ED13" s="134"/>
      <c r="EE13" s="134"/>
      <c r="EF13" s="134"/>
      <c r="EG13" s="134"/>
      <c r="EH13" s="66"/>
      <c r="EI13" s="134"/>
      <c r="EJ13" s="134"/>
      <c r="EK13" s="134"/>
      <c r="EL13" s="134"/>
      <c r="EM13" s="134"/>
      <c r="EN13" s="66"/>
      <c r="EO13" s="134"/>
      <c r="EP13" s="134"/>
      <c r="EQ13" s="134"/>
      <c r="ER13" s="134"/>
      <c r="ES13" s="134"/>
      <c r="ET13" s="134"/>
      <c r="EU13" s="66"/>
      <c r="EV13" s="134"/>
      <c r="EW13" s="134"/>
      <c r="EX13" s="134"/>
      <c r="EY13" s="134"/>
      <c r="EZ13" s="134"/>
      <c r="FA13" s="134"/>
      <c r="FB13" s="66"/>
      <c r="FC13" s="134"/>
      <c r="FD13" s="134"/>
      <c r="FE13" s="134"/>
      <c r="FF13" s="134"/>
      <c r="FG13" s="134"/>
      <c r="FH13" s="66"/>
      <c r="FI13" s="134"/>
      <c r="FJ13" s="134"/>
      <c r="FK13" s="134"/>
      <c r="FL13" s="134"/>
      <c r="FM13" s="134"/>
      <c r="FN13" s="66"/>
      <c r="FO13" s="134"/>
      <c r="FP13" s="134"/>
      <c r="FQ13" s="134"/>
      <c r="FR13" s="134"/>
      <c r="FS13" s="134"/>
      <c r="FT13" s="66"/>
      <c r="FU13" s="134"/>
      <c r="FV13" s="134"/>
      <c r="FW13" s="134"/>
      <c r="FX13" s="134"/>
      <c r="FY13" s="134"/>
      <c r="FZ13" s="134"/>
      <c r="GA13" s="66"/>
      <c r="GB13" s="134"/>
      <c r="GC13" s="134"/>
      <c r="GD13" s="134"/>
      <c r="GE13" s="134"/>
      <c r="GF13" s="134"/>
      <c r="GG13" s="134"/>
      <c r="GH13" s="66"/>
      <c r="GI13" s="134"/>
      <c r="GJ13" s="134"/>
      <c r="GK13" s="134"/>
      <c r="GL13" s="134"/>
      <c r="GM13" s="134"/>
      <c r="GN13" s="134"/>
      <c r="GO13" s="66"/>
      <c r="GP13" s="134"/>
      <c r="GQ13" s="134"/>
      <c r="GR13" s="134"/>
      <c r="GS13" s="134"/>
      <c r="GT13" s="134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</row>
    <row r="14" spans="2:231" x14ac:dyDescent="0.25">
      <c r="B14" s="120" t="s">
        <v>0</v>
      </c>
      <c r="C14" s="149"/>
      <c r="D14" s="121"/>
      <c r="E14" s="149"/>
      <c r="F14" s="149"/>
      <c r="G14" s="149"/>
      <c r="H14" s="149"/>
      <c r="J14" s="66"/>
      <c r="K14" s="132"/>
      <c r="L14" s="133"/>
      <c r="M14" s="132"/>
      <c r="N14" s="132"/>
      <c r="O14" s="132"/>
      <c r="P14" s="132"/>
      <c r="Q14" s="122"/>
      <c r="R14" s="66"/>
      <c r="S14" s="132"/>
      <c r="T14" s="133"/>
      <c r="U14" s="132"/>
      <c r="V14" s="132"/>
      <c r="W14" s="132"/>
      <c r="X14" s="132"/>
      <c r="Y14" s="134"/>
      <c r="Z14" s="66"/>
      <c r="AA14" s="132"/>
      <c r="AB14" s="133"/>
      <c r="AC14" s="132"/>
      <c r="AD14" s="132"/>
      <c r="AE14" s="132"/>
      <c r="AF14" s="132"/>
      <c r="AG14" s="134"/>
      <c r="AH14" s="66"/>
      <c r="AI14" s="132"/>
      <c r="AJ14" s="133"/>
      <c r="AK14" s="132"/>
      <c r="AL14" s="132"/>
      <c r="AM14" s="132"/>
      <c r="AN14" s="132"/>
      <c r="AO14" s="134"/>
      <c r="AP14" s="66"/>
      <c r="AQ14" s="132"/>
      <c r="AR14" s="133"/>
      <c r="AS14" s="132"/>
      <c r="AT14" s="132"/>
      <c r="AU14" s="132"/>
      <c r="AV14" s="132"/>
      <c r="AW14" s="134"/>
      <c r="AX14" s="66"/>
      <c r="AY14" s="132"/>
      <c r="AZ14" s="133"/>
      <c r="BA14" s="132"/>
      <c r="BB14" s="132"/>
      <c r="BC14" s="132"/>
      <c r="BD14" s="132"/>
      <c r="BE14" s="134"/>
      <c r="BF14" s="66"/>
      <c r="BG14" s="132"/>
      <c r="BH14" s="133"/>
      <c r="BI14" s="132"/>
      <c r="BJ14" s="132"/>
      <c r="BK14" s="132"/>
      <c r="BL14" s="132"/>
      <c r="BM14" s="134"/>
      <c r="BN14" s="66"/>
      <c r="BO14" s="132"/>
      <c r="BP14" s="133"/>
      <c r="BQ14" s="132"/>
      <c r="BR14" s="132"/>
      <c r="BS14" s="132"/>
      <c r="BT14" s="132"/>
      <c r="BU14" s="134"/>
      <c r="BV14" s="134"/>
      <c r="BW14" s="134"/>
      <c r="BX14" s="66"/>
      <c r="BY14" s="134"/>
      <c r="BZ14" s="134"/>
      <c r="CA14" s="134"/>
      <c r="CB14" s="134"/>
      <c r="CC14" s="134"/>
      <c r="CD14" s="134"/>
      <c r="CE14" s="134"/>
      <c r="CF14" s="66"/>
      <c r="CG14" s="134"/>
      <c r="CH14" s="134"/>
      <c r="CI14" s="134"/>
      <c r="CJ14" s="134"/>
      <c r="CK14" s="134"/>
      <c r="CL14" s="134"/>
      <c r="CM14" s="134"/>
      <c r="CN14" s="66"/>
      <c r="CO14" s="134"/>
      <c r="CP14" s="134"/>
      <c r="CQ14" s="134"/>
      <c r="CR14" s="134"/>
      <c r="CS14" s="134"/>
      <c r="CT14" s="134"/>
      <c r="CU14" s="66"/>
      <c r="CV14" s="134"/>
      <c r="CW14" s="134"/>
      <c r="CX14" s="134"/>
      <c r="CY14" s="134"/>
      <c r="CZ14" s="134"/>
      <c r="DA14" s="134"/>
      <c r="DB14" s="66"/>
      <c r="DC14" s="134"/>
      <c r="DD14" s="134"/>
      <c r="DE14" s="134"/>
      <c r="DF14" s="134"/>
      <c r="DG14" s="134"/>
      <c r="DH14" s="66"/>
      <c r="DI14" s="134"/>
      <c r="DJ14" s="134"/>
      <c r="DK14" s="134"/>
      <c r="DL14" s="134"/>
      <c r="DM14" s="134"/>
      <c r="DN14" s="66"/>
      <c r="DO14" s="134"/>
      <c r="DP14" s="134"/>
      <c r="DQ14" s="134"/>
      <c r="DR14" s="134"/>
      <c r="DS14" s="134"/>
      <c r="DT14" s="134"/>
      <c r="DU14" s="66"/>
      <c r="DV14" s="134"/>
      <c r="DW14" s="137"/>
      <c r="DX14" s="137"/>
      <c r="DY14" s="137"/>
      <c r="DZ14" s="134"/>
      <c r="EA14" s="66"/>
      <c r="EB14" s="134"/>
      <c r="EC14" s="134"/>
      <c r="ED14" s="134"/>
      <c r="EE14" s="134"/>
      <c r="EF14" s="134"/>
      <c r="EG14" s="134"/>
      <c r="EH14" s="66"/>
      <c r="EI14" s="134"/>
      <c r="EJ14" s="134"/>
      <c r="EK14" s="134"/>
      <c r="EL14" s="134"/>
      <c r="EM14" s="134"/>
      <c r="EN14" s="66"/>
      <c r="EO14" s="132"/>
      <c r="EP14" s="134"/>
      <c r="EQ14" s="134"/>
      <c r="ER14" s="134"/>
      <c r="ES14" s="134"/>
      <c r="ET14" s="134"/>
      <c r="EU14" s="66"/>
      <c r="EV14" s="134"/>
      <c r="EW14" s="134"/>
      <c r="EX14" s="134"/>
      <c r="EY14" s="134"/>
      <c r="EZ14" s="134"/>
      <c r="FA14" s="134"/>
      <c r="FB14" s="66"/>
      <c r="FC14" s="134"/>
      <c r="FD14" s="134"/>
      <c r="FE14" s="134"/>
      <c r="FF14" s="134"/>
      <c r="FG14" s="134"/>
      <c r="FH14" s="66"/>
      <c r="FI14" s="134"/>
      <c r="FJ14" s="134"/>
      <c r="FK14" s="134"/>
      <c r="FL14" s="134"/>
      <c r="FM14" s="134"/>
      <c r="FN14" s="66"/>
      <c r="FO14" s="134"/>
      <c r="FP14" s="134"/>
      <c r="FQ14" s="134"/>
      <c r="FR14" s="134"/>
      <c r="FS14" s="134"/>
      <c r="FT14" s="66"/>
      <c r="FU14" s="134"/>
      <c r="FV14" s="134"/>
      <c r="FW14" s="134"/>
      <c r="FX14" s="134"/>
      <c r="FY14" s="134"/>
      <c r="FZ14" s="134"/>
      <c r="GA14" s="66"/>
      <c r="GB14" s="134"/>
      <c r="GC14" s="134"/>
      <c r="GD14" s="134"/>
      <c r="GE14" s="134"/>
      <c r="GF14" s="134"/>
      <c r="GG14" s="134"/>
      <c r="GH14" s="66"/>
      <c r="GI14" s="134"/>
      <c r="GJ14" s="134"/>
      <c r="GK14" s="134"/>
      <c r="GL14" s="134"/>
      <c r="GM14" s="134"/>
      <c r="GN14" s="134"/>
      <c r="GO14" s="66"/>
      <c r="GP14" s="134"/>
      <c r="GQ14" s="134"/>
      <c r="GR14" s="134"/>
      <c r="GS14" s="134"/>
      <c r="GT14" s="134"/>
      <c r="GU14" s="135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</row>
    <row r="15" spans="2:231" x14ac:dyDescent="0.25">
      <c r="B15" s="129" t="s">
        <v>95</v>
      </c>
      <c r="C15" s="150"/>
      <c r="D15" s="130"/>
      <c r="E15" s="150"/>
      <c r="F15" s="150"/>
      <c r="G15" s="150"/>
      <c r="H15" s="150"/>
      <c r="J15" s="66"/>
      <c r="K15" s="132"/>
      <c r="L15" s="133"/>
      <c r="M15" s="132"/>
      <c r="N15" s="132"/>
      <c r="O15" s="132"/>
      <c r="P15" s="132"/>
      <c r="Q15" s="122"/>
      <c r="R15" s="66"/>
      <c r="S15" s="132"/>
      <c r="T15" s="133"/>
      <c r="U15" s="132"/>
      <c r="V15" s="132"/>
      <c r="W15" s="132"/>
      <c r="X15" s="132"/>
      <c r="Y15" s="134"/>
      <c r="Z15" s="66"/>
      <c r="AA15" s="132"/>
      <c r="AB15" s="133"/>
      <c r="AC15" s="132"/>
      <c r="AD15" s="132"/>
      <c r="AE15" s="132"/>
      <c r="AF15" s="132"/>
      <c r="AG15" s="134"/>
      <c r="AH15" s="66"/>
      <c r="AI15" s="132"/>
      <c r="AJ15" s="133"/>
      <c r="AK15" s="132"/>
      <c r="AL15" s="132"/>
      <c r="AM15" s="132"/>
      <c r="AN15" s="132"/>
      <c r="AO15" s="134"/>
      <c r="AP15" s="66"/>
      <c r="AQ15" s="132"/>
      <c r="AR15" s="133"/>
      <c r="AS15" s="132"/>
      <c r="AT15" s="132"/>
      <c r="AU15" s="132"/>
      <c r="AV15" s="132"/>
      <c r="AW15" s="134"/>
      <c r="AX15" s="66"/>
      <c r="AY15" s="132"/>
      <c r="AZ15" s="133"/>
      <c r="BA15" s="132"/>
      <c r="BB15" s="132"/>
      <c r="BC15" s="132"/>
      <c r="BD15" s="132"/>
      <c r="BE15" s="134"/>
      <c r="BF15" s="66"/>
      <c r="BG15" s="132"/>
      <c r="BH15" s="133"/>
      <c r="BI15" s="132"/>
      <c r="BJ15" s="132"/>
      <c r="BK15" s="132"/>
      <c r="BL15" s="132"/>
      <c r="BM15" s="134"/>
      <c r="BN15" s="66"/>
      <c r="BO15" s="132"/>
      <c r="BP15" s="133"/>
      <c r="BQ15" s="132"/>
      <c r="BR15" s="132"/>
      <c r="BS15" s="132"/>
      <c r="BT15" s="132"/>
      <c r="BU15" s="134"/>
      <c r="BV15" s="134"/>
      <c r="BW15" s="134"/>
      <c r="BX15" s="66"/>
      <c r="BY15" s="134"/>
      <c r="BZ15" s="134"/>
      <c r="CA15" s="134"/>
      <c r="CB15" s="134"/>
      <c r="CC15" s="134"/>
      <c r="CD15" s="134"/>
      <c r="CE15" s="134"/>
      <c r="CF15" s="66"/>
      <c r="CG15" s="134"/>
      <c r="CH15" s="134"/>
      <c r="CI15" s="134"/>
      <c r="CJ15" s="134"/>
      <c r="CK15" s="134"/>
      <c r="CL15" s="134"/>
      <c r="CM15" s="134"/>
      <c r="CN15" s="66"/>
      <c r="CO15" s="134"/>
      <c r="CP15" s="134"/>
      <c r="CQ15" s="134"/>
      <c r="CR15" s="134"/>
      <c r="CS15" s="134"/>
      <c r="CT15" s="134"/>
      <c r="CU15" s="66"/>
      <c r="CV15" s="134"/>
      <c r="CW15" s="134"/>
      <c r="CX15" s="134"/>
      <c r="CY15" s="134"/>
      <c r="CZ15" s="134"/>
      <c r="DA15" s="134"/>
      <c r="DB15" s="66"/>
      <c r="DC15" s="134"/>
      <c r="DD15" s="134"/>
      <c r="DE15" s="134"/>
      <c r="DF15" s="134"/>
      <c r="DG15" s="134"/>
      <c r="DH15" s="66"/>
      <c r="DI15" s="134"/>
      <c r="DJ15" s="134"/>
      <c r="DK15" s="134"/>
      <c r="DL15" s="134"/>
      <c r="DM15" s="134"/>
      <c r="DN15" s="66"/>
      <c r="DO15" s="134"/>
      <c r="DP15" s="134"/>
      <c r="DQ15" s="134"/>
      <c r="DR15" s="134"/>
      <c r="DS15" s="134"/>
      <c r="DT15" s="134"/>
      <c r="DU15" s="66"/>
      <c r="DV15" s="134"/>
      <c r="DW15" s="137"/>
      <c r="DX15" s="137"/>
      <c r="DY15" s="137"/>
      <c r="DZ15" s="134"/>
      <c r="EA15" s="66"/>
      <c r="EB15" s="134"/>
      <c r="EC15" s="134"/>
      <c r="ED15" s="134"/>
      <c r="EE15" s="134"/>
      <c r="EF15" s="134"/>
      <c r="EG15" s="134"/>
      <c r="EH15" s="66"/>
      <c r="EI15" s="134"/>
      <c r="EJ15" s="134"/>
      <c r="EK15" s="134"/>
      <c r="EL15" s="134"/>
      <c r="EM15" s="134"/>
      <c r="EN15" s="66"/>
      <c r="EO15" s="132"/>
      <c r="EP15" s="134"/>
      <c r="EQ15" s="134"/>
      <c r="ER15" s="134"/>
      <c r="ES15" s="134"/>
      <c r="ET15" s="134"/>
      <c r="EU15" s="66"/>
      <c r="EV15" s="134"/>
      <c r="EW15" s="134"/>
      <c r="EX15" s="134"/>
      <c r="EY15" s="134"/>
      <c r="EZ15" s="134"/>
      <c r="FA15" s="134"/>
      <c r="FB15" s="66"/>
      <c r="FC15" s="134"/>
      <c r="FD15" s="134"/>
      <c r="FE15" s="134"/>
      <c r="FF15" s="134"/>
      <c r="FG15" s="134"/>
      <c r="FH15" s="66"/>
      <c r="FI15" s="134"/>
      <c r="FJ15" s="134"/>
      <c r="FK15" s="134"/>
      <c r="FL15" s="134"/>
      <c r="FM15" s="134"/>
      <c r="FN15" s="66"/>
      <c r="FO15" s="134"/>
      <c r="FP15" s="134"/>
      <c r="FQ15" s="134"/>
      <c r="FR15" s="134"/>
      <c r="FS15" s="134"/>
      <c r="FT15" s="66"/>
      <c r="FU15" s="134"/>
      <c r="FV15" s="134"/>
      <c r="FW15" s="134"/>
      <c r="FX15" s="134"/>
      <c r="FY15" s="134"/>
      <c r="FZ15" s="134"/>
      <c r="GA15" s="66"/>
      <c r="GB15" s="134"/>
      <c r="GC15" s="134"/>
      <c r="GD15" s="134"/>
      <c r="GE15" s="134"/>
      <c r="GF15" s="134"/>
      <c r="GG15" s="134"/>
      <c r="GH15" s="66"/>
      <c r="GI15" s="134"/>
      <c r="GJ15" s="134"/>
      <c r="GK15" s="134"/>
      <c r="GL15" s="134"/>
      <c r="GM15" s="134"/>
      <c r="GN15" s="134"/>
      <c r="GO15" s="66"/>
      <c r="GP15" s="134"/>
      <c r="GQ15" s="134"/>
      <c r="GR15" s="134"/>
      <c r="GS15" s="134"/>
      <c r="GT15" s="134"/>
      <c r="GU15" s="135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</row>
    <row r="16" spans="2:231" x14ac:dyDescent="0.25">
      <c r="B16" s="61"/>
      <c r="C16" s="151"/>
      <c r="D16" s="54"/>
      <c r="E16" s="151"/>
      <c r="F16" s="151"/>
      <c r="G16" s="151"/>
      <c r="H16" s="151"/>
      <c r="J16" s="32"/>
      <c r="K16" s="32"/>
      <c r="R16" s="32"/>
      <c r="S16" s="136"/>
      <c r="T16" s="136"/>
      <c r="U16" s="136"/>
      <c r="V16" s="136"/>
      <c r="W16" s="136"/>
      <c r="X16" s="136"/>
      <c r="Y16" s="136"/>
      <c r="Z16" s="32"/>
      <c r="AA16" s="136"/>
      <c r="AB16" s="136"/>
      <c r="AC16" s="136"/>
      <c r="AD16" s="136"/>
      <c r="AE16" s="136"/>
      <c r="AF16" s="136"/>
      <c r="AG16" s="136"/>
      <c r="AH16" s="32"/>
      <c r="AI16" s="136"/>
      <c r="AJ16" s="136"/>
      <c r="AK16" s="136"/>
      <c r="AL16" s="136"/>
      <c r="AM16" s="136"/>
      <c r="AN16" s="136"/>
      <c r="AO16" s="136"/>
      <c r="AP16" s="32"/>
      <c r="AQ16" s="136"/>
      <c r="AR16" s="136"/>
      <c r="AS16" s="136"/>
      <c r="AT16" s="136"/>
      <c r="AU16" s="136"/>
      <c r="AV16" s="136"/>
      <c r="AW16" s="136"/>
      <c r="AX16" s="32"/>
      <c r="AY16" s="136"/>
      <c r="AZ16" s="136"/>
      <c r="BA16" s="136"/>
      <c r="BB16" s="136"/>
      <c r="BC16" s="136"/>
      <c r="BD16" s="136"/>
      <c r="BE16" s="136"/>
      <c r="BF16" s="32"/>
      <c r="BG16" s="136"/>
      <c r="BH16" s="136"/>
      <c r="BI16" s="136"/>
      <c r="BJ16" s="136"/>
      <c r="BK16" s="136"/>
      <c r="BL16" s="136"/>
      <c r="BM16" s="136"/>
      <c r="BN16" s="32"/>
      <c r="BO16" s="136"/>
      <c r="BP16" s="136"/>
      <c r="BQ16" s="136"/>
      <c r="BR16" s="136"/>
      <c r="BS16" s="136"/>
      <c r="BT16" s="136"/>
      <c r="BU16" s="136"/>
      <c r="BV16" s="136"/>
      <c r="BW16" s="136"/>
      <c r="BX16" s="32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32"/>
      <c r="CO16" s="136"/>
      <c r="CP16" s="136"/>
      <c r="CQ16" s="136"/>
      <c r="CR16" s="136"/>
      <c r="CS16" s="136"/>
      <c r="CT16" s="136"/>
      <c r="CU16" s="32"/>
      <c r="CV16" s="136"/>
      <c r="CW16" s="136"/>
      <c r="CX16" s="136"/>
      <c r="CY16" s="136"/>
      <c r="CZ16" s="136"/>
      <c r="DA16" s="136"/>
      <c r="DB16" s="32"/>
      <c r="DC16" s="136"/>
      <c r="DD16" s="136"/>
      <c r="DE16" s="136"/>
      <c r="DF16" s="136"/>
      <c r="DG16" s="136"/>
      <c r="DH16" s="32"/>
      <c r="DI16" s="136"/>
      <c r="DJ16" s="136"/>
      <c r="DK16" s="136"/>
      <c r="DL16" s="136"/>
      <c r="DM16" s="136"/>
      <c r="DN16" s="32"/>
      <c r="DO16" s="136"/>
      <c r="DP16" s="136"/>
      <c r="DQ16" s="136"/>
      <c r="DR16" s="136"/>
      <c r="DS16" s="136"/>
      <c r="DT16" s="136"/>
      <c r="DU16" s="32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8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6"/>
      <c r="FG16" s="136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6"/>
      <c r="FV16" s="136"/>
      <c r="FW16" s="136"/>
      <c r="FX16" s="136"/>
      <c r="FY16" s="136"/>
      <c r="FZ16" s="136"/>
      <c r="GA16" s="136"/>
      <c r="GB16" s="136"/>
      <c r="GC16" s="136"/>
      <c r="GD16" s="136"/>
      <c r="GE16" s="136"/>
      <c r="GF16" s="136"/>
      <c r="GG16" s="136"/>
      <c r="GH16" s="136"/>
      <c r="GI16" s="136"/>
      <c r="GJ16" s="136"/>
      <c r="GK16" s="136"/>
      <c r="GL16" s="136"/>
      <c r="GM16" s="136"/>
      <c r="GN16" s="136"/>
      <c r="GO16" s="136"/>
      <c r="GP16" s="136"/>
      <c r="GQ16" s="136"/>
      <c r="GR16" s="136"/>
      <c r="GS16" s="136"/>
      <c r="GT16" s="136"/>
      <c r="GU16" s="136"/>
      <c r="GV16" s="136"/>
      <c r="GW16" s="136"/>
      <c r="GX16" s="136"/>
      <c r="GY16" s="136"/>
      <c r="GZ16" s="136"/>
      <c r="HA16" s="136"/>
      <c r="HB16" s="136"/>
      <c r="HC16" s="136"/>
      <c r="HD16" s="136"/>
      <c r="HE16" s="136"/>
      <c r="HF16" s="136"/>
      <c r="HG16" s="136"/>
      <c r="HH16" s="136"/>
      <c r="HI16" s="136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</row>
    <row r="17" spans="2:231" x14ac:dyDescent="0.25">
      <c r="B17" s="58" t="s">
        <v>58</v>
      </c>
      <c r="C17" s="102"/>
      <c r="E17" s="102"/>
      <c r="F17" s="62" t="s">
        <v>5</v>
      </c>
      <c r="G17" s="62" t="s">
        <v>9</v>
      </c>
      <c r="H17" s="102"/>
      <c r="J17" s="66"/>
      <c r="K17" s="32"/>
      <c r="L17" s="139"/>
      <c r="M17" s="32"/>
      <c r="N17" s="32"/>
      <c r="O17" s="32"/>
      <c r="P17" s="32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8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66"/>
      <c r="FO17" s="134"/>
      <c r="FP17" s="134"/>
      <c r="FQ17" s="134"/>
      <c r="FR17" s="134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</row>
    <row r="18" spans="2:231" ht="13.8" thickBot="1" x14ac:dyDescent="0.3">
      <c r="B18" s="63" t="s">
        <v>14</v>
      </c>
      <c r="C18" s="152" t="s">
        <v>1</v>
      </c>
      <c r="D18" s="64" t="s">
        <v>2</v>
      </c>
      <c r="E18" s="152" t="s">
        <v>3</v>
      </c>
      <c r="F18" s="64" t="s">
        <v>3</v>
      </c>
      <c r="G18" s="64" t="s">
        <v>3</v>
      </c>
      <c r="H18" s="152" t="s">
        <v>4</v>
      </c>
      <c r="J18" s="66"/>
      <c r="K18" s="32"/>
      <c r="L18" s="139"/>
      <c r="M18" s="32"/>
      <c r="N18" s="32"/>
      <c r="O18" s="32"/>
      <c r="P18" s="32"/>
      <c r="EO18" s="138"/>
      <c r="FN18" s="66"/>
      <c r="FO18" s="134"/>
      <c r="FP18" s="134"/>
      <c r="FQ18" s="134"/>
      <c r="FR18" s="134"/>
    </row>
    <row r="19" spans="2:231" x14ac:dyDescent="0.25">
      <c r="B19" s="58"/>
      <c r="C19" s="144"/>
      <c r="D19" s="62"/>
      <c r="E19" s="144"/>
      <c r="F19" s="144"/>
      <c r="G19" s="144"/>
      <c r="H19" s="144"/>
      <c r="J19" s="32"/>
      <c r="K19" s="32"/>
      <c r="EO19" s="138"/>
      <c r="FN19" s="136"/>
      <c r="FO19" s="136"/>
      <c r="FP19" s="136"/>
      <c r="FQ19" s="136"/>
      <c r="FR19" s="136"/>
    </row>
    <row r="20" spans="2:231" x14ac:dyDescent="0.25">
      <c r="B20" s="66">
        <f>+'Series Detail'!AV12</f>
        <v>45275</v>
      </c>
      <c r="C20" s="102">
        <f>+'Series Detail'!AW12</f>
        <v>0</v>
      </c>
      <c r="D20" s="131">
        <f>+'Series Detail'!AX12</f>
        <v>0</v>
      </c>
      <c r="E20" s="102">
        <f>+'Series Detail'!AY12</f>
        <v>0</v>
      </c>
      <c r="F20" s="102">
        <f>+'Series Detail'!AZ12</f>
        <v>0</v>
      </c>
      <c r="G20" s="102">
        <f>+'Series Detail'!BA12</f>
        <v>0</v>
      </c>
      <c r="H20" s="102">
        <f>+C20+E20+F20+G20</f>
        <v>0</v>
      </c>
      <c r="EO20" s="111"/>
    </row>
    <row r="21" spans="2:231" x14ac:dyDescent="0.25">
      <c r="B21" s="66">
        <f>+'Series Detail'!AV13</f>
        <v>45458</v>
      </c>
      <c r="C21" s="102">
        <f>+'Series Detail'!AW13</f>
        <v>0</v>
      </c>
      <c r="D21" s="131">
        <f>+'Series Detail'!AX13</f>
        <v>7.1999999999999995E-2</v>
      </c>
      <c r="E21" s="102">
        <f>+'Series Detail'!AY13</f>
        <v>835217.5</v>
      </c>
      <c r="F21" s="102">
        <f>+'Series Detail'!AZ13</f>
        <v>0</v>
      </c>
      <c r="G21" s="102">
        <f>+'Series Detail'!BA13</f>
        <v>-835217.5</v>
      </c>
      <c r="H21" s="102">
        <f>+C21+E21+F21+G21</f>
        <v>0</v>
      </c>
      <c r="J21" s="66"/>
      <c r="K21" s="66"/>
      <c r="EO21" s="111"/>
    </row>
    <row r="22" spans="2:231" ht="15.6" x14ac:dyDescent="0.3">
      <c r="B22" s="52"/>
      <c r="C22" s="148"/>
      <c r="D22" s="52"/>
      <c r="E22" s="148"/>
      <c r="F22" s="148"/>
      <c r="G22" s="148"/>
      <c r="H22" s="148"/>
      <c r="J22" s="32"/>
      <c r="K22" s="32"/>
      <c r="EO22" s="138"/>
    </row>
    <row r="23" spans="2:231" x14ac:dyDescent="0.25">
      <c r="B23" s="120" t="s">
        <v>0</v>
      </c>
      <c r="C23" s="149"/>
      <c r="D23" s="121"/>
      <c r="E23" s="149"/>
      <c r="F23" s="149"/>
      <c r="G23" s="149"/>
      <c r="H23" s="149"/>
      <c r="J23" s="139"/>
      <c r="K23" s="139"/>
      <c r="EO23" s="138"/>
    </row>
    <row r="24" spans="2:231" x14ac:dyDescent="0.25">
      <c r="B24" s="129" t="s">
        <v>100</v>
      </c>
      <c r="C24" s="150"/>
      <c r="D24" s="130"/>
      <c r="E24" s="150"/>
      <c r="F24" s="150"/>
      <c r="G24" s="150"/>
      <c r="H24" s="150"/>
      <c r="J24" s="32"/>
      <c r="K24" s="32"/>
      <c r="EO24" s="138"/>
    </row>
    <row r="25" spans="2:231" x14ac:dyDescent="0.25">
      <c r="B25" s="61"/>
      <c r="C25" s="151"/>
      <c r="D25" s="54"/>
      <c r="E25" s="151"/>
      <c r="F25" s="151"/>
      <c r="G25" s="151"/>
      <c r="H25" s="151"/>
      <c r="J25" s="32"/>
      <c r="K25" s="32"/>
      <c r="EO25" s="138"/>
    </row>
    <row r="26" spans="2:231" x14ac:dyDescent="0.25">
      <c r="B26" s="58" t="s">
        <v>58</v>
      </c>
      <c r="C26" s="102"/>
      <c r="E26" s="102"/>
      <c r="F26" s="62" t="s">
        <v>5</v>
      </c>
      <c r="G26" s="62" t="s">
        <v>9</v>
      </c>
      <c r="H26" s="102"/>
      <c r="J26" s="32"/>
      <c r="K26" s="32"/>
      <c r="EO26" s="138"/>
    </row>
    <row r="27" spans="2:231" ht="13.8" thickBot="1" x14ac:dyDescent="0.3">
      <c r="B27" s="63" t="s">
        <v>14</v>
      </c>
      <c r="C27" s="152" t="s">
        <v>1</v>
      </c>
      <c r="D27" s="64" t="s">
        <v>2</v>
      </c>
      <c r="E27" s="152" t="s">
        <v>3</v>
      </c>
      <c r="F27" s="64" t="s">
        <v>3</v>
      </c>
      <c r="G27" s="64" t="s">
        <v>3</v>
      </c>
      <c r="H27" s="152" t="s">
        <v>4</v>
      </c>
      <c r="J27" s="32"/>
      <c r="K27" s="32"/>
      <c r="EO27" s="138"/>
    </row>
    <row r="28" spans="2:231" x14ac:dyDescent="0.25">
      <c r="B28" s="58"/>
      <c r="C28" s="144"/>
      <c r="D28" s="62"/>
      <c r="E28" s="144"/>
      <c r="F28" s="144"/>
      <c r="G28" s="144"/>
      <c r="H28" s="144"/>
      <c r="EO28" s="138"/>
    </row>
    <row r="29" spans="2:231" x14ac:dyDescent="0.25">
      <c r="B29" s="66">
        <f>+'Series Detail'!X12</f>
        <v>45275</v>
      </c>
      <c r="C29" s="102">
        <f>+'Series Detail'!Y12</f>
        <v>0</v>
      </c>
      <c r="D29" s="131">
        <f>+'Series Detail'!Z12</f>
        <v>0</v>
      </c>
      <c r="E29" s="102">
        <f>+'Series Detail'!AA12</f>
        <v>929375</v>
      </c>
      <c r="F29" s="102">
        <f>+'Series Detail'!AB12</f>
        <v>0</v>
      </c>
      <c r="G29" s="102">
        <f>+'Series Detail'!AC12</f>
        <v>0</v>
      </c>
      <c r="H29" s="102">
        <f>+C29+E29+F29+G29</f>
        <v>929375</v>
      </c>
      <c r="J29" s="66"/>
      <c r="K29" s="66"/>
      <c r="EO29" s="111"/>
    </row>
    <row r="30" spans="2:231" x14ac:dyDescent="0.25">
      <c r="B30" s="66">
        <f>+'Series Detail'!X13</f>
        <v>45458</v>
      </c>
      <c r="C30" s="102">
        <f>+'Series Detail'!Y13</f>
        <v>735000</v>
      </c>
      <c r="D30" s="131">
        <f>+'Series Detail'!Z13</f>
        <v>0.05</v>
      </c>
      <c r="E30" s="102">
        <f>+'Series Detail'!AA13</f>
        <v>929375</v>
      </c>
      <c r="F30" s="102">
        <f>+'Series Detail'!AB13</f>
        <v>0</v>
      </c>
      <c r="G30" s="102">
        <f>+'Series Detail'!AC13</f>
        <v>0</v>
      </c>
      <c r="H30" s="102">
        <f>+C30+E30+F30+G30</f>
        <v>1664375</v>
      </c>
      <c r="J30" s="32"/>
      <c r="K30" s="32"/>
      <c r="EO30" s="111"/>
    </row>
    <row r="31" spans="2:231" x14ac:dyDescent="0.25">
      <c r="B31" s="120"/>
      <c r="C31" s="149"/>
      <c r="D31" s="121"/>
      <c r="E31" s="149"/>
      <c r="F31" s="149"/>
      <c r="G31" s="149"/>
      <c r="H31" s="149"/>
      <c r="J31" s="139"/>
      <c r="K31" s="139"/>
      <c r="EO31" s="138"/>
    </row>
    <row r="32" spans="2:231" x14ac:dyDescent="0.25">
      <c r="B32" s="129" t="s">
        <v>104</v>
      </c>
      <c r="C32" s="150"/>
      <c r="D32" s="130"/>
      <c r="E32" s="150"/>
      <c r="F32" s="150"/>
      <c r="G32" s="150"/>
      <c r="H32" s="150"/>
      <c r="J32" s="32"/>
      <c r="K32" s="32"/>
      <c r="EO32" s="111"/>
    </row>
    <row r="33" spans="2:145" x14ac:dyDescent="0.25">
      <c r="B33" s="61"/>
      <c r="C33" s="151"/>
      <c r="D33" s="54"/>
      <c r="E33" s="151"/>
      <c r="F33" s="151"/>
      <c r="G33" s="151"/>
      <c r="H33" s="151"/>
      <c r="J33" s="32"/>
      <c r="K33" s="32"/>
      <c r="EO33" s="111"/>
    </row>
    <row r="34" spans="2:145" x14ac:dyDescent="0.25">
      <c r="B34" s="58" t="s">
        <v>58</v>
      </c>
      <c r="C34" s="102"/>
      <c r="E34" s="102"/>
      <c r="F34" s="62" t="s">
        <v>5</v>
      </c>
      <c r="G34" s="62" t="s">
        <v>9</v>
      </c>
      <c r="H34" s="102"/>
      <c r="J34" s="32"/>
      <c r="K34" s="32"/>
      <c r="EO34" s="111"/>
    </row>
    <row r="35" spans="2:145" ht="13.8" thickBot="1" x14ac:dyDescent="0.3">
      <c r="B35" s="63" t="s">
        <v>14</v>
      </c>
      <c r="C35" s="152" t="s">
        <v>1</v>
      </c>
      <c r="D35" s="64" t="s">
        <v>2</v>
      </c>
      <c r="E35" s="152" t="s">
        <v>3</v>
      </c>
      <c r="F35" s="64" t="s">
        <v>3</v>
      </c>
      <c r="G35" s="64" t="s">
        <v>3</v>
      </c>
      <c r="H35" s="152" t="s">
        <v>4</v>
      </c>
      <c r="J35" s="32"/>
      <c r="K35" s="32"/>
      <c r="EO35" s="111"/>
    </row>
    <row r="36" spans="2:145" x14ac:dyDescent="0.25">
      <c r="B36" s="58"/>
      <c r="C36" s="144"/>
      <c r="D36" s="62"/>
      <c r="E36" s="144"/>
      <c r="F36" s="144"/>
      <c r="G36" s="144"/>
      <c r="H36" s="144"/>
      <c r="EO36" s="111"/>
    </row>
    <row r="37" spans="2:145" x14ac:dyDescent="0.25">
      <c r="B37" s="66">
        <f>+B29</f>
        <v>45275</v>
      </c>
      <c r="C37" s="102">
        <f>SUM(C11,C20,C29)</f>
        <v>0</v>
      </c>
      <c r="D37" s="147" t="s">
        <v>105</v>
      </c>
      <c r="E37" s="102">
        <f>SUM(E11,E20,E29)</f>
        <v>929375</v>
      </c>
      <c r="F37" s="102">
        <f t="shared" ref="F37:G38" si="0">SUM(F11,F20,F29)</f>
        <v>0</v>
      </c>
      <c r="G37" s="102">
        <f t="shared" si="0"/>
        <v>0</v>
      </c>
      <c r="H37" s="102">
        <f>SUM(H11,H20,H29)</f>
        <v>929375</v>
      </c>
      <c r="J37" s="66"/>
      <c r="K37" s="66"/>
      <c r="EO37" s="111"/>
    </row>
    <row r="38" spans="2:145" ht="15" x14ac:dyDescent="0.4">
      <c r="B38" s="66">
        <f>+B30</f>
        <v>45458</v>
      </c>
      <c r="C38" s="153">
        <f>SUM(C12,C21,C30)</f>
        <v>735000</v>
      </c>
      <c r="D38" s="147" t="s">
        <v>105</v>
      </c>
      <c r="E38" s="153">
        <f>SUM(E12,E21,E30)</f>
        <v>2136883.125</v>
      </c>
      <c r="F38" s="153">
        <f t="shared" si="0"/>
        <v>0</v>
      </c>
      <c r="G38" s="153">
        <f t="shared" si="0"/>
        <v>-1207508.125</v>
      </c>
      <c r="H38" s="153">
        <f>SUM(H12,H21,H30)</f>
        <v>1664375</v>
      </c>
      <c r="J38" s="32"/>
      <c r="K38" s="32"/>
      <c r="EO38" s="111"/>
    </row>
    <row r="39" spans="2:145" x14ac:dyDescent="0.25">
      <c r="C39" s="142">
        <f>SUM(C37:C38)</f>
        <v>735000</v>
      </c>
      <c r="D39" s="60"/>
      <c r="E39" s="142">
        <f t="shared" ref="E39:G39" si="1">SUM(E37:E38)</f>
        <v>3066258.125</v>
      </c>
      <c r="F39" s="142">
        <f t="shared" si="1"/>
        <v>0</v>
      </c>
      <c r="G39" s="142">
        <f t="shared" si="1"/>
        <v>-1207508.125</v>
      </c>
      <c r="H39" s="142">
        <f>SUM(H37:H38)</f>
        <v>2593750</v>
      </c>
      <c r="J39" s="139"/>
      <c r="K39" s="139"/>
      <c r="EO39" s="111"/>
    </row>
    <row r="40" spans="2:145" x14ac:dyDescent="0.25">
      <c r="C40" s="102"/>
      <c r="E40" s="102"/>
      <c r="F40" s="102"/>
      <c r="G40" s="102"/>
      <c r="H40" s="102"/>
      <c r="J40" s="32"/>
      <c r="K40" s="32"/>
      <c r="EO40" s="138"/>
    </row>
    <row r="41" spans="2:145" ht="13.8" x14ac:dyDescent="0.25">
      <c r="B41" s="221">
        <f ca="1">NOW()</f>
        <v>45358.638994791669</v>
      </c>
      <c r="C41" s="221"/>
      <c r="H41" s="32"/>
      <c r="J41" s="32"/>
      <c r="K41" s="32"/>
      <c r="EO41" s="111"/>
    </row>
    <row r="42" spans="2:145" ht="15.6" x14ac:dyDescent="0.3">
      <c r="B42" s="52"/>
      <c r="C42" s="52"/>
      <c r="D42" s="52"/>
      <c r="E42" s="52"/>
      <c r="F42" s="119"/>
      <c r="G42" s="119"/>
      <c r="H42" s="119"/>
      <c r="J42" s="32"/>
      <c r="K42" s="32"/>
      <c r="EO42" s="111"/>
    </row>
    <row r="43" spans="2:145" x14ac:dyDescent="0.25">
      <c r="B43" s="58"/>
      <c r="C43" s="58"/>
      <c r="D43" s="59"/>
      <c r="E43" s="59"/>
      <c r="F43" s="59"/>
      <c r="G43" s="59"/>
      <c r="H43" s="59"/>
      <c r="J43" s="32"/>
      <c r="K43" s="32"/>
      <c r="EO43" s="111"/>
    </row>
    <row r="44" spans="2:145" x14ac:dyDescent="0.25">
      <c r="B44" s="58"/>
      <c r="C44" s="58"/>
      <c r="D44" s="59"/>
      <c r="E44" s="59"/>
      <c r="F44" s="59"/>
      <c r="G44" s="59"/>
      <c r="H44" s="59"/>
      <c r="EO44" s="111"/>
    </row>
    <row r="45" spans="2:145" x14ac:dyDescent="0.25">
      <c r="B45" s="61"/>
      <c r="C45" s="54"/>
      <c r="D45" s="54"/>
      <c r="E45" s="54"/>
      <c r="F45" s="54"/>
      <c r="G45" s="54"/>
      <c r="H45" s="141"/>
      <c r="J45" s="66"/>
      <c r="K45" s="66"/>
      <c r="EO45" s="111"/>
    </row>
    <row r="46" spans="2:145" x14ac:dyDescent="0.25">
      <c r="B46" s="58"/>
      <c r="F46" s="62"/>
      <c r="G46" s="62"/>
      <c r="H46" s="140"/>
      <c r="J46" s="32"/>
      <c r="K46" s="32"/>
      <c r="EO46" s="111"/>
    </row>
    <row r="47" spans="2:145" x14ac:dyDescent="0.25">
      <c r="B47" s="58"/>
      <c r="C47" s="62"/>
      <c r="D47" s="62"/>
      <c r="E47" s="62"/>
      <c r="F47" s="62"/>
      <c r="G47" s="62"/>
      <c r="H47" s="62"/>
      <c r="J47" s="71"/>
      <c r="K47" s="71"/>
      <c r="EO47" s="111"/>
    </row>
    <row r="48" spans="2:145" x14ac:dyDescent="0.25">
      <c r="B48" s="58"/>
      <c r="C48" s="62"/>
      <c r="D48" s="62"/>
      <c r="E48" s="62"/>
      <c r="F48" s="62"/>
      <c r="G48" s="62"/>
      <c r="H48" s="62"/>
      <c r="J48" s="32"/>
      <c r="K48" s="32"/>
      <c r="EO48" s="111"/>
    </row>
    <row r="49" spans="2:145" x14ac:dyDescent="0.25">
      <c r="B49" s="66"/>
      <c r="C49" s="32"/>
      <c r="D49" s="131"/>
      <c r="E49" s="32"/>
      <c r="F49" s="32"/>
      <c r="G49" s="32"/>
      <c r="H49" s="32"/>
      <c r="J49" s="32"/>
      <c r="K49" s="32"/>
      <c r="EO49" s="138"/>
    </row>
    <row r="50" spans="2:145" x14ac:dyDescent="0.25">
      <c r="B50" s="66"/>
      <c r="C50" s="32"/>
      <c r="D50" s="131"/>
      <c r="E50" s="32"/>
      <c r="F50" s="32"/>
      <c r="G50" s="32"/>
      <c r="H50" s="32"/>
    </row>
    <row r="51" spans="2:145" ht="15.6" x14ac:dyDescent="0.3">
      <c r="B51" s="52"/>
      <c r="C51" s="52"/>
      <c r="D51" s="52"/>
      <c r="E51" s="52"/>
      <c r="F51" s="119"/>
      <c r="G51" s="119"/>
      <c r="H51" s="119"/>
    </row>
    <row r="52" spans="2:145" x14ac:dyDescent="0.25">
      <c r="B52" s="58"/>
      <c r="C52" s="58"/>
      <c r="D52" s="59"/>
      <c r="E52" s="59"/>
      <c r="F52" s="59"/>
      <c r="G52" s="59"/>
      <c r="H52" s="59"/>
    </row>
    <row r="53" spans="2:145" x14ac:dyDescent="0.25">
      <c r="B53" s="58"/>
      <c r="C53" s="58"/>
      <c r="D53" s="59"/>
      <c r="E53" s="59"/>
      <c r="F53" s="59"/>
      <c r="G53" s="59"/>
      <c r="H53" s="59"/>
      <c r="J53" s="32"/>
      <c r="K53" s="32"/>
    </row>
    <row r="54" spans="2:145" x14ac:dyDescent="0.25">
      <c r="B54" s="61"/>
      <c r="C54" s="54"/>
      <c r="D54" s="54"/>
      <c r="E54" s="54"/>
      <c r="F54" s="54"/>
      <c r="G54" s="54"/>
      <c r="H54" s="54"/>
    </row>
    <row r="55" spans="2:145" x14ac:dyDescent="0.25">
      <c r="B55" s="58"/>
      <c r="F55" s="62"/>
      <c r="G55" s="62"/>
    </row>
    <row r="56" spans="2:145" x14ac:dyDescent="0.25">
      <c r="B56" s="58"/>
      <c r="C56" s="62"/>
      <c r="D56" s="62"/>
      <c r="E56" s="62"/>
      <c r="F56" s="62"/>
      <c r="G56" s="62"/>
      <c r="H56" s="62"/>
    </row>
    <row r="57" spans="2:145" x14ac:dyDescent="0.25">
      <c r="B57" s="58"/>
      <c r="C57" s="62"/>
      <c r="D57" s="62"/>
      <c r="E57" s="62"/>
      <c r="F57" s="62"/>
      <c r="G57" s="62"/>
      <c r="H57" s="62"/>
    </row>
    <row r="58" spans="2:145" x14ac:dyDescent="0.25">
      <c r="B58" s="66"/>
      <c r="C58" s="32"/>
      <c r="D58" s="131"/>
      <c r="E58" s="32"/>
      <c r="F58" s="32"/>
      <c r="G58" s="32"/>
      <c r="H58" s="32"/>
    </row>
    <row r="59" spans="2:145" x14ac:dyDescent="0.25">
      <c r="B59" s="66"/>
      <c r="C59" s="32"/>
      <c r="D59" s="131"/>
      <c r="E59" s="32"/>
      <c r="F59" s="32"/>
      <c r="G59" s="32"/>
      <c r="H59" s="32"/>
    </row>
    <row r="60" spans="2:145" ht="15.6" x14ac:dyDescent="0.3">
      <c r="B60" s="52"/>
      <c r="C60" s="52"/>
      <c r="D60" s="52"/>
      <c r="E60" s="52"/>
      <c r="F60" s="119"/>
      <c r="G60" s="119"/>
      <c r="H60" s="119"/>
    </row>
  </sheetData>
  <mergeCells count="1">
    <mergeCell ref="B41:C41"/>
  </mergeCells>
  <printOptions horizontalCentered="1"/>
  <pageMargins left="0.5" right="0.5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COI</vt:lpstr>
      <vt:lpstr>C-05 2019A</vt:lpstr>
      <vt:lpstr>FinalEstimate</vt:lpstr>
      <vt:lpstr>2023AB</vt:lpstr>
      <vt:lpstr>2019A</vt:lpstr>
      <vt:lpstr>Total Debt</vt:lpstr>
      <vt:lpstr>Series Detail</vt:lpstr>
      <vt:lpstr>FY24</vt:lpstr>
      <vt:lpstr>'2019A'!Print_Area</vt:lpstr>
      <vt:lpstr>'2023AB'!Print_Area</vt:lpstr>
      <vt:lpstr>COI!Print_Area</vt:lpstr>
      <vt:lpstr>'FY24'!Print_Area</vt:lpstr>
      <vt:lpstr>'Series Detail'!Print_Area</vt:lpstr>
      <vt:lpstr>'Total Debt'!Print_Area</vt:lpstr>
      <vt:lpstr>'2019A'!Print_Titles</vt:lpstr>
      <vt:lpstr>'2023AB'!Print_Titles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Pi Tao Hsu</cp:lastModifiedBy>
  <cp:lastPrinted>2024-03-07T21:38:21Z</cp:lastPrinted>
  <dcterms:created xsi:type="dcterms:W3CDTF">1999-09-09T17:30:14Z</dcterms:created>
  <dcterms:modified xsi:type="dcterms:W3CDTF">2024-03-07T21:45:42Z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