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ormann\AppData\Local\Microsoft\Windows\INetCache\Content.Outlook\1TKZMVZ6\"/>
    </mc:Choice>
  </mc:AlternateContent>
  <xr:revisionPtr revIDLastSave="0" documentId="13_ncr:1_{C0320C24-FA58-4CE9-8223-01817308ED08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-05 2019A" sheetId="8" state="hidden" r:id="rId1"/>
    <sheet name="COI2022A" sheetId="17" r:id="rId2"/>
    <sheet name="2022A" sheetId="9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3" sheetId="18" r:id="rId11"/>
    <sheet name="FY22" sheetId="19" r:id="rId12"/>
  </sheets>
  <externalReferences>
    <externalReference r:id="rId13"/>
    <externalReference r:id="rId14"/>
  </externalReferences>
  <definedNames>
    <definedName name="COI">[1]Ser2021A!$A:$B</definedName>
    <definedName name="_xlnm.Print_Area" localSheetId="2">'2022A'!$A$1:$M$76</definedName>
    <definedName name="_xlnm.Print_Area" localSheetId="4">'C-31 2of3'!$A$1:$L$52</definedName>
    <definedName name="_xlnm.Print_Area" localSheetId="5">'C-31 3of3'!$A$1:$L$55</definedName>
    <definedName name="_xlnm.Print_Area" localSheetId="1">COI2022A!$A$1:$L$50</definedName>
    <definedName name="_xlnm.Print_Area" localSheetId="7">Prior!$A$1:$M$92</definedName>
    <definedName name="_xlnm.Print_Area" localSheetId="9">'Refunded Prior'!$B$4:$J$91</definedName>
    <definedName name="_xlnm.Print_Area" localSheetId="8">'Series Detail'!$B$2:$M$91</definedName>
    <definedName name="_xlnm.Print_Area" localSheetId="6">'Total Debt'!$A$1:$M$92</definedName>
    <definedName name="_xlnm.Print_Titles" localSheetId="2">'2022A'!$1:$9</definedName>
    <definedName name="_xlnm.Print_Titles" localSheetId="7">Prior!$1:$9</definedName>
    <definedName name="_xlnm.Print_Titles" localSheetId="6">'Total Debt'!$1:$9</definedName>
    <definedName name="ProjectName" localSheetId="1">{"Client Name or Project Name"}</definedName>
    <definedName name="ProjectName" localSheetId="11">{"Client Name or Project Name"}</definedName>
    <definedName name="ProjectName" localSheetId="6">{"Client Name or Project Name"}</definedName>
    <definedName name="ProjectName">{"Client Name or Project Name"}</definedName>
    <definedName name="SeriesTotalEPB_DS" localSheetId="11">'[2]Series Detail'!$H:$M</definedName>
    <definedName name="SeriesTotalEPB_DS">'Series Detail'!$H:$M</definedName>
    <definedName name="TotalEPB_DS" localSheetId="11">'[2]Total Debt'!$A:$M</definedName>
    <definedName name="TotalEPB_DS">'Total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2" i="19" l="1"/>
  <c r="G191" i="19"/>
  <c r="F191" i="19" l="1"/>
  <c r="E192" i="19"/>
  <c r="E191" i="19"/>
  <c r="B192" i="19"/>
  <c r="B191" i="19"/>
  <c r="D192" i="19"/>
  <c r="D191" i="19"/>
  <c r="F192" i="19"/>
  <c r="G12" i="19"/>
  <c r="F11" i="19"/>
  <c r="G11" i="19" s="1"/>
  <c r="A195" i="19"/>
  <c r="G183" i="19"/>
  <c r="G182" i="19"/>
  <c r="G174" i="19"/>
  <c r="G173" i="19"/>
  <c r="G165" i="19"/>
  <c r="G164" i="19"/>
  <c r="G156" i="19"/>
  <c r="G155" i="19"/>
  <c r="G147" i="19"/>
  <c r="G146" i="19"/>
  <c r="G138" i="19"/>
  <c r="G137" i="19"/>
  <c r="G129" i="19"/>
  <c r="G128" i="19"/>
  <c r="G120" i="19"/>
  <c r="G119" i="19"/>
  <c r="G111" i="19"/>
  <c r="G110" i="19"/>
  <c r="G102" i="19"/>
  <c r="G101" i="19"/>
  <c r="G93" i="19"/>
  <c r="G92" i="19"/>
  <c r="G84" i="19"/>
  <c r="G83" i="19"/>
  <c r="G75" i="19"/>
  <c r="G74" i="19"/>
  <c r="G66" i="19"/>
  <c r="G65" i="19"/>
  <c r="G30" i="19"/>
  <c r="G29" i="19"/>
  <c r="G57" i="19"/>
  <c r="G56" i="19"/>
  <c r="G48" i="19"/>
  <c r="G47" i="19"/>
  <c r="G39" i="19"/>
  <c r="G38" i="19"/>
  <c r="F21" i="19"/>
  <c r="F20" i="19"/>
  <c r="G20" i="19" l="1"/>
  <c r="G21" i="19"/>
  <c r="B42" i="17" l="1"/>
  <c r="B36" i="17"/>
  <c r="CN53" i="11" l="1"/>
  <c r="CN52" i="11"/>
  <c r="CN51" i="11"/>
  <c r="CN50" i="11"/>
  <c r="CN49" i="11"/>
  <c r="CN48" i="11"/>
  <c r="CN47" i="11"/>
  <c r="CN46" i="11"/>
  <c r="CN45" i="11"/>
  <c r="CN44" i="11"/>
  <c r="CN43" i="11"/>
  <c r="CN42" i="11"/>
  <c r="CN41" i="11"/>
  <c r="CN40" i="11"/>
  <c r="CN39" i="11"/>
  <c r="CN38" i="11"/>
  <c r="CN37" i="11"/>
  <c r="CN36" i="11"/>
  <c r="CN35" i="11"/>
  <c r="CN34" i="11"/>
  <c r="CN33" i="11"/>
  <c r="CN32" i="11"/>
  <c r="CN31" i="11"/>
  <c r="CN30" i="11"/>
  <c r="CN29" i="11"/>
  <c r="CN28" i="11"/>
  <c r="CN27" i="11"/>
  <c r="CN26" i="11"/>
  <c r="CN25" i="11"/>
  <c r="CN24" i="11"/>
  <c r="CN23" i="11"/>
  <c r="CN22" i="11"/>
  <c r="CN21" i="11"/>
  <c r="CN20" i="11"/>
  <c r="CN19" i="11"/>
  <c r="CN18" i="11"/>
  <c r="CN17" i="11"/>
  <c r="CN16" i="11"/>
  <c r="CN15" i="11"/>
  <c r="CN14" i="11"/>
  <c r="CN13" i="11"/>
  <c r="B38" i="17"/>
  <c r="DO14" i="1" l="1"/>
  <c r="AA73" i="1" l="1"/>
  <c r="O15" i="11"/>
  <c r="O25" i="11"/>
  <c r="O24" i="11"/>
  <c r="O23" i="11" s="1"/>
  <c r="O22" i="11" s="1"/>
  <c r="O21" i="11" s="1"/>
  <c r="O20" i="11" s="1"/>
  <c r="O19" i="11" s="1"/>
  <c r="O18" i="11" s="1"/>
  <c r="O17" i="11" s="1"/>
  <c r="O16" i="11" s="1"/>
  <c r="O26" i="11"/>
  <c r="M75" i="9"/>
  <c r="F188" i="18"/>
  <c r="F189" i="18"/>
  <c r="E189" i="18"/>
  <c r="D189" i="18"/>
  <c r="B189" i="18"/>
  <c r="E188" i="18"/>
  <c r="D188" i="18"/>
  <c r="B188" i="18"/>
  <c r="G188" i="18"/>
  <c r="G11" i="18"/>
  <c r="G12" i="18"/>
  <c r="F17" i="18"/>
  <c r="G17" i="18" s="1"/>
  <c r="F18" i="18"/>
  <c r="G18" i="18"/>
  <c r="G189" i="18" s="1"/>
  <c r="A192" i="18"/>
  <c r="G180" i="18"/>
  <c r="G179" i="18"/>
  <c r="G171" i="18"/>
  <c r="G170" i="18"/>
  <c r="G162" i="18"/>
  <c r="G161" i="18"/>
  <c r="G153" i="18"/>
  <c r="G152" i="18"/>
  <c r="G144" i="18"/>
  <c r="G143" i="18"/>
  <c r="G135" i="18"/>
  <c r="G134" i="18"/>
  <c r="G126" i="18"/>
  <c r="G125" i="18"/>
  <c r="G117" i="18"/>
  <c r="G116" i="18"/>
  <c r="G108" i="18"/>
  <c r="G107" i="18"/>
  <c r="G99" i="18"/>
  <c r="G98" i="18"/>
  <c r="G90" i="18"/>
  <c r="G89" i="18"/>
  <c r="G81" i="18"/>
  <c r="G80" i="18"/>
  <c r="G72" i="18"/>
  <c r="G71" i="18"/>
  <c r="G63" i="18"/>
  <c r="G62" i="18"/>
  <c r="G54" i="18"/>
  <c r="G53" i="18"/>
  <c r="G45" i="18"/>
  <c r="G44" i="18"/>
  <c r="G36" i="18"/>
  <c r="G35" i="18"/>
  <c r="G27" i="18"/>
  <c r="G26" i="18"/>
  <c r="I87" i="4"/>
  <c r="G87" i="4"/>
  <c r="E87" i="4"/>
  <c r="C87" i="4"/>
  <c r="K87" i="4" s="1"/>
  <c r="I86" i="4"/>
  <c r="G86" i="4"/>
  <c r="K86" i="4" s="1"/>
  <c r="E86" i="4"/>
  <c r="C86" i="4"/>
  <c r="I85" i="4"/>
  <c r="G85" i="4"/>
  <c r="E85" i="4"/>
  <c r="C85" i="4"/>
  <c r="K85" i="4" s="1"/>
  <c r="K84" i="4"/>
  <c r="I84" i="4"/>
  <c r="G84" i="4"/>
  <c r="E84" i="4"/>
  <c r="C84" i="4"/>
  <c r="I83" i="4"/>
  <c r="G83" i="4"/>
  <c r="E83" i="4"/>
  <c r="C83" i="4"/>
  <c r="K83" i="4" s="1"/>
  <c r="I82" i="4"/>
  <c r="G82" i="4"/>
  <c r="E82" i="4"/>
  <c r="C82" i="4"/>
  <c r="K82" i="4" s="1"/>
  <c r="I81" i="4"/>
  <c r="K81" i="4" s="1"/>
  <c r="G81" i="4"/>
  <c r="E81" i="4"/>
  <c r="C81" i="4"/>
  <c r="I80" i="4"/>
  <c r="G80" i="4"/>
  <c r="E80" i="4"/>
  <c r="C80" i="4"/>
  <c r="K80" i="4" s="1"/>
  <c r="I79" i="4"/>
  <c r="G79" i="4"/>
  <c r="E79" i="4"/>
  <c r="C79" i="4"/>
  <c r="K79" i="4" s="1"/>
  <c r="I78" i="4"/>
  <c r="G78" i="4"/>
  <c r="K78" i="4" s="1"/>
  <c r="E78" i="4"/>
  <c r="C78" i="4"/>
  <c r="I77" i="4"/>
  <c r="G77" i="4"/>
  <c r="E77" i="4"/>
  <c r="C77" i="4"/>
  <c r="K77" i="4" s="1"/>
  <c r="K76" i="4"/>
  <c r="I76" i="4"/>
  <c r="G76" i="4"/>
  <c r="E76" i="4"/>
  <c r="C76" i="4"/>
  <c r="I75" i="4"/>
  <c r="G75" i="4"/>
  <c r="E75" i="4"/>
  <c r="C75" i="4"/>
  <c r="K75" i="4" s="1"/>
  <c r="I74" i="4"/>
  <c r="G74" i="4"/>
  <c r="E74" i="4"/>
  <c r="C74" i="4"/>
  <c r="K74" i="4" s="1"/>
  <c r="I73" i="4"/>
  <c r="K73" i="4" s="1"/>
  <c r="G73" i="4"/>
  <c r="E73" i="4"/>
  <c r="C73" i="4"/>
  <c r="I72" i="4"/>
  <c r="G72" i="4"/>
  <c r="E72" i="4"/>
  <c r="C72" i="4"/>
  <c r="K72" i="4" s="1"/>
  <c r="I71" i="4"/>
  <c r="G71" i="4"/>
  <c r="I70" i="4"/>
  <c r="G70" i="4"/>
  <c r="E70" i="4"/>
  <c r="C70" i="4"/>
  <c r="K70" i="4" s="1"/>
  <c r="I69" i="4"/>
  <c r="G69" i="4"/>
  <c r="E69" i="4"/>
  <c r="C69" i="4"/>
  <c r="K69" i="4" s="1"/>
  <c r="K68" i="4"/>
  <c r="I68" i="4"/>
  <c r="G68" i="4"/>
  <c r="E68" i="4"/>
  <c r="C68" i="4"/>
  <c r="I67" i="4"/>
  <c r="G67" i="4"/>
  <c r="E67" i="4"/>
  <c r="C67" i="4"/>
  <c r="K67" i="4" s="1"/>
  <c r="I66" i="4"/>
  <c r="G66" i="4"/>
  <c r="E66" i="4"/>
  <c r="C66" i="4"/>
  <c r="K66" i="4" s="1"/>
  <c r="I65" i="4"/>
  <c r="G65" i="4"/>
  <c r="E65" i="4"/>
  <c r="C65" i="4"/>
  <c r="K65" i="4" s="1"/>
  <c r="I64" i="4"/>
  <c r="G64" i="4"/>
  <c r="E64" i="4"/>
  <c r="C64" i="4"/>
  <c r="K64" i="4" s="1"/>
  <c r="I63" i="4"/>
  <c r="G63" i="4"/>
  <c r="E63" i="4"/>
  <c r="C63" i="4"/>
  <c r="K63" i="4" s="1"/>
  <c r="I62" i="4"/>
  <c r="G62" i="4"/>
  <c r="E62" i="4"/>
  <c r="C62" i="4"/>
  <c r="K62" i="4" s="1"/>
  <c r="I61" i="4"/>
  <c r="G61" i="4"/>
  <c r="E61" i="4"/>
  <c r="C61" i="4"/>
  <c r="K61" i="4" s="1"/>
  <c r="K60" i="4"/>
  <c r="I60" i="4"/>
  <c r="G60" i="4"/>
  <c r="E60" i="4"/>
  <c r="C60" i="4"/>
  <c r="I59" i="4"/>
  <c r="G59" i="4"/>
  <c r="E59" i="4"/>
  <c r="C59" i="4"/>
  <c r="K59" i="4" s="1"/>
  <c r="I58" i="4"/>
  <c r="G58" i="4"/>
  <c r="E58" i="4"/>
  <c r="C58" i="4"/>
  <c r="K58" i="4" s="1"/>
  <c r="I57" i="4"/>
  <c r="G57" i="4"/>
  <c r="E57" i="4"/>
  <c r="C57" i="4"/>
  <c r="K57" i="4" s="1"/>
  <c r="I56" i="4"/>
  <c r="G56" i="4"/>
  <c r="E56" i="4"/>
  <c r="C56" i="4"/>
  <c r="K56" i="4" s="1"/>
  <c r="I55" i="4"/>
  <c r="G55" i="4"/>
  <c r="E55" i="4"/>
  <c r="C55" i="4"/>
  <c r="K55" i="4" s="1"/>
  <c r="I54" i="4"/>
  <c r="G54" i="4"/>
  <c r="E54" i="4"/>
  <c r="C54" i="4"/>
  <c r="K54" i="4" s="1"/>
  <c r="I53" i="4"/>
  <c r="G53" i="4"/>
  <c r="E53" i="4"/>
  <c r="C53" i="4"/>
  <c r="K53" i="4" s="1"/>
  <c r="K52" i="4"/>
  <c r="I52" i="4"/>
  <c r="G52" i="4"/>
  <c r="E52" i="4"/>
  <c r="C52" i="4"/>
  <c r="I51" i="4"/>
  <c r="G51" i="4"/>
  <c r="C51" i="4"/>
  <c r="I50" i="4"/>
  <c r="G50" i="4"/>
  <c r="C50" i="4"/>
  <c r="I49" i="4"/>
  <c r="G49" i="4"/>
  <c r="C49" i="4"/>
  <c r="I48" i="4"/>
  <c r="G48" i="4"/>
  <c r="C48" i="4"/>
  <c r="I47" i="4"/>
  <c r="G47" i="4"/>
  <c r="C47" i="4"/>
  <c r="I46" i="4"/>
  <c r="G46" i="4"/>
  <c r="C46" i="4"/>
  <c r="I45" i="4"/>
  <c r="G45" i="4"/>
  <c r="C45" i="4"/>
  <c r="I44" i="4"/>
  <c r="G44" i="4"/>
  <c r="C44" i="4"/>
  <c r="I43" i="4"/>
  <c r="G43" i="4"/>
  <c r="C43" i="4"/>
  <c r="I42" i="4"/>
  <c r="G42" i="4"/>
  <c r="C42" i="4"/>
  <c r="I41" i="4"/>
  <c r="G41" i="4"/>
  <c r="C41" i="4"/>
  <c r="I40" i="4"/>
  <c r="G40" i="4"/>
  <c r="C40" i="4"/>
  <c r="I39" i="4"/>
  <c r="G39" i="4"/>
  <c r="C39" i="4"/>
  <c r="I38" i="4"/>
  <c r="G38" i="4"/>
  <c r="C38" i="4"/>
  <c r="I37" i="4"/>
  <c r="G37" i="4"/>
  <c r="C37" i="4"/>
  <c r="I36" i="4"/>
  <c r="G36" i="4"/>
  <c r="C36" i="4"/>
  <c r="I35" i="4"/>
  <c r="G35" i="4"/>
  <c r="C35" i="4"/>
  <c r="I34" i="4"/>
  <c r="G34" i="4"/>
  <c r="C34" i="4"/>
  <c r="I33" i="4"/>
  <c r="G33" i="4"/>
  <c r="C33" i="4"/>
  <c r="I32" i="4"/>
  <c r="G32" i="4"/>
  <c r="C32" i="4"/>
  <c r="I31" i="4"/>
  <c r="G31" i="4"/>
  <c r="C31" i="4"/>
  <c r="I30" i="4"/>
  <c r="G30" i="4"/>
  <c r="C30" i="4"/>
  <c r="I29" i="4"/>
  <c r="G29" i="4"/>
  <c r="C29" i="4"/>
  <c r="I28" i="4"/>
  <c r="G28" i="4"/>
  <c r="C28" i="4"/>
  <c r="I27" i="4"/>
  <c r="G27" i="4"/>
  <c r="C27" i="4"/>
  <c r="I26" i="4"/>
  <c r="G26" i="4"/>
  <c r="C26" i="4"/>
  <c r="I25" i="4"/>
  <c r="G25" i="4"/>
  <c r="C25" i="4"/>
  <c r="I24" i="4"/>
  <c r="G24" i="4"/>
  <c r="C24" i="4"/>
  <c r="I23" i="4"/>
  <c r="G23" i="4"/>
  <c r="C23" i="4"/>
  <c r="I22" i="4"/>
  <c r="G22" i="4"/>
  <c r="C22" i="4"/>
  <c r="I21" i="4"/>
  <c r="G21" i="4"/>
  <c r="C21" i="4"/>
  <c r="I20" i="4"/>
  <c r="G20" i="4"/>
  <c r="C20" i="4"/>
  <c r="I19" i="4"/>
  <c r="G19" i="4"/>
  <c r="C19" i="4"/>
  <c r="I18" i="4"/>
  <c r="G18" i="4"/>
  <c r="C18" i="4"/>
  <c r="I17" i="4"/>
  <c r="G17" i="4"/>
  <c r="C17" i="4"/>
  <c r="I16" i="4"/>
  <c r="G16" i="4"/>
  <c r="C16" i="4"/>
  <c r="I15" i="4"/>
  <c r="G15" i="4"/>
  <c r="C15" i="4"/>
  <c r="I14" i="4"/>
  <c r="G14" i="4"/>
  <c r="C14" i="4"/>
  <c r="I13" i="4"/>
  <c r="G13" i="4"/>
  <c r="C13" i="4"/>
  <c r="I12" i="4"/>
  <c r="G12" i="4"/>
  <c r="C12" i="4"/>
  <c r="I11" i="4"/>
  <c r="G11" i="4"/>
  <c r="E11" i="4"/>
  <c r="C11" i="4"/>
  <c r="K11" i="4" s="1"/>
  <c r="I10" i="4"/>
  <c r="G10" i="4"/>
  <c r="E10" i="4"/>
  <c r="C10" i="4"/>
  <c r="DZ22" i="11" l="1"/>
  <c r="DZ21" i="11" s="1"/>
  <c r="DZ20" i="11" s="1"/>
  <c r="DZ19" i="11" s="1"/>
  <c r="DZ18" i="11" s="1"/>
  <c r="DZ17" i="11" s="1"/>
  <c r="DZ16" i="11" s="1"/>
  <c r="DZ15" i="11" s="1"/>
  <c r="DZ14" i="11" s="1"/>
  <c r="DZ13" i="11" s="1"/>
  <c r="DZ23" i="11"/>
  <c r="CM51" i="11" l="1"/>
  <c r="CM50" i="11" s="1"/>
  <c r="CM49" i="11" s="1"/>
  <c r="CM48" i="11" s="1"/>
  <c r="CM47" i="11" s="1"/>
  <c r="CM46" i="11" s="1"/>
  <c r="CM45" i="11" s="1"/>
  <c r="CM44" i="11" s="1"/>
  <c r="CM43" i="11" s="1"/>
  <c r="CM42" i="11" s="1"/>
  <c r="CM41" i="11" s="1"/>
  <c r="CM40" i="11" s="1"/>
  <c r="CM39" i="11" s="1"/>
  <c r="CM38" i="11" s="1"/>
  <c r="CM37" i="11" s="1"/>
  <c r="CM36" i="11" s="1"/>
  <c r="CM35" i="11" s="1"/>
  <c r="CM34" i="11" s="1"/>
  <c r="CM33" i="11" s="1"/>
  <c r="CM32" i="11" s="1"/>
  <c r="CM31" i="11" s="1"/>
  <c r="CM30" i="11" s="1"/>
  <c r="CM29" i="11" s="1"/>
  <c r="CM28" i="11" s="1"/>
  <c r="CM27" i="11" s="1"/>
  <c r="CM26" i="11" s="1"/>
  <c r="CM25" i="11" s="1"/>
  <c r="CM24" i="11" s="1"/>
  <c r="CM23" i="11" s="1"/>
  <c r="CM22" i="11" s="1"/>
  <c r="CM21" i="11" s="1"/>
  <c r="CM20" i="11" s="1"/>
  <c r="CM19" i="11" s="1"/>
  <c r="CM18" i="11" s="1"/>
  <c r="CM17" i="11" s="1"/>
  <c r="CM16" i="11" s="1"/>
  <c r="CM15" i="11" s="1"/>
  <c r="CM14" i="11" s="1"/>
  <c r="CM13" i="11" s="1"/>
  <c r="CM52" i="11"/>
  <c r="CM53" i="11"/>
  <c r="CS71" i="11"/>
  <c r="CS70" i="11" s="1"/>
  <c r="CS69" i="11" s="1"/>
  <c r="CS68" i="11" s="1"/>
  <c r="CS67" i="11" s="1"/>
  <c r="CS66" i="11" s="1"/>
  <c r="CS65" i="11" s="1"/>
  <c r="CS64" i="11" s="1"/>
  <c r="CS63" i="11" s="1"/>
  <c r="CS62" i="11" s="1"/>
  <c r="CS61" i="11" s="1"/>
  <c r="CS60" i="11" s="1"/>
  <c r="CS59" i="11" s="1"/>
  <c r="CS58" i="11" s="1"/>
  <c r="CS57" i="11" s="1"/>
  <c r="CS56" i="11" s="1"/>
  <c r="CS55" i="11" s="1"/>
  <c r="CS54" i="11" s="1"/>
  <c r="CS53" i="11" s="1"/>
  <c r="CS52" i="11" s="1"/>
  <c r="CS51" i="11" s="1"/>
  <c r="CS50" i="11" s="1"/>
  <c r="CS49" i="11" s="1"/>
  <c r="CS48" i="11" s="1"/>
  <c r="CS47" i="11" s="1"/>
  <c r="CS46" i="11" s="1"/>
  <c r="CS45" i="11" s="1"/>
  <c r="CS44" i="11" s="1"/>
  <c r="CS43" i="11" s="1"/>
  <c r="CS42" i="11" s="1"/>
  <c r="CS41" i="11" s="1"/>
  <c r="CS40" i="11" s="1"/>
  <c r="CS39" i="11" s="1"/>
  <c r="CS38" i="11" s="1"/>
  <c r="CS37" i="11" s="1"/>
  <c r="CS36" i="11" s="1"/>
  <c r="CS35" i="11" s="1"/>
  <c r="CS34" i="11" s="1"/>
  <c r="CS33" i="11" s="1"/>
  <c r="CS32" i="11" s="1"/>
  <c r="CS31" i="11" s="1"/>
  <c r="CS30" i="11" s="1"/>
  <c r="CS29" i="11" s="1"/>
  <c r="CS28" i="11" s="1"/>
  <c r="CS27" i="11" s="1"/>
  <c r="CS26" i="11" s="1"/>
  <c r="CS25" i="11" s="1"/>
  <c r="CS24" i="11" s="1"/>
  <c r="CS23" i="11" s="1"/>
  <c r="CS22" i="11" s="1"/>
  <c r="CS21" i="11" s="1"/>
  <c r="CS20" i="11" s="1"/>
  <c r="CS19" i="11" s="1"/>
  <c r="CS18" i="11" s="1"/>
  <c r="CS17" i="11" s="1"/>
  <c r="CS16" i="11" s="1"/>
  <c r="CS15" i="11" s="1"/>
  <c r="CS14" i="11" s="1"/>
  <c r="CS13" i="11" s="1"/>
  <c r="CS72" i="11"/>
  <c r="CS73" i="11"/>
  <c r="C1" i="3" l="1"/>
  <c r="U89" i="1" l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L83" i="1"/>
  <c r="K83" i="1"/>
  <c r="J83" i="1"/>
  <c r="I83" i="1"/>
  <c r="M83" i="1" s="1"/>
  <c r="L81" i="1"/>
  <c r="K81" i="1"/>
  <c r="J81" i="1"/>
  <c r="I81" i="1"/>
  <c r="M81" i="1" s="1"/>
  <c r="L79" i="1"/>
  <c r="K79" i="1"/>
  <c r="J79" i="1"/>
  <c r="I79" i="1"/>
  <c r="M79" i="1" s="1"/>
  <c r="L77" i="1"/>
  <c r="K77" i="1"/>
  <c r="J77" i="1"/>
  <c r="I77" i="1"/>
  <c r="M77" i="1" s="1"/>
  <c r="L75" i="1"/>
  <c r="K75" i="1"/>
  <c r="J75" i="1"/>
  <c r="I75" i="1"/>
  <c r="M75" i="1" s="1"/>
  <c r="L73" i="1"/>
  <c r="K73" i="1"/>
  <c r="J73" i="1"/>
  <c r="I73" i="1"/>
  <c r="L71" i="1"/>
  <c r="K71" i="1"/>
  <c r="J71" i="1"/>
  <c r="I71" i="1"/>
  <c r="L69" i="1"/>
  <c r="K69" i="1"/>
  <c r="J69" i="1"/>
  <c r="I69" i="1"/>
  <c r="L67" i="1"/>
  <c r="K67" i="1"/>
  <c r="J67" i="1"/>
  <c r="I67" i="1"/>
  <c r="L65" i="1"/>
  <c r="K65" i="1"/>
  <c r="J65" i="1"/>
  <c r="I65" i="1"/>
  <c r="L63" i="1"/>
  <c r="K63" i="1"/>
  <c r="J63" i="1"/>
  <c r="I63" i="1"/>
  <c r="L61" i="1"/>
  <c r="K61" i="1"/>
  <c r="J61" i="1"/>
  <c r="I61" i="1"/>
  <c r="L59" i="1"/>
  <c r="K59" i="1"/>
  <c r="J59" i="1"/>
  <c r="I59" i="1"/>
  <c r="L57" i="1"/>
  <c r="K57" i="1"/>
  <c r="J57" i="1"/>
  <c r="I57" i="1"/>
  <c r="L55" i="1"/>
  <c r="K55" i="1"/>
  <c r="J55" i="1"/>
  <c r="I55" i="1"/>
  <c r="L53" i="1"/>
  <c r="K53" i="1"/>
  <c r="I53" i="1"/>
  <c r="L51" i="1"/>
  <c r="K51" i="1"/>
  <c r="I51" i="1"/>
  <c r="L49" i="1"/>
  <c r="K49" i="1"/>
  <c r="I49" i="1"/>
  <c r="L47" i="1"/>
  <c r="K47" i="1"/>
  <c r="I47" i="1"/>
  <c r="L45" i="1"/>
  <c r="K45" i="1"/>
  <c r="I45" i="1"/>
  <c r="L43" i="1"/>
  <c r="K43" i="1"/>
  <c r="I43" i="1"/>
  <c r="L41" i="1"/>
  <c r="K41" i="1"/>
  <c r="I41" i="1"/>
  <c r="L39" i="1"/>
  <c r="K39" i="1"/>
  <c r="I39" i="1"/>
  <c r="L37" i="1"/>
  <c r="K37" i="1"/>
  <c r="I37" i="1"/>
  <c r="L35" i="1"/>
  <c r="K35" i="1"/>
  <c r="I35" i="1"/>
  <c r="L33" i="1"/>
  <c r="K33" i="1"/>
  <c r="I33" i="1"/>
  <c r="L31" i="1"/>
  <c r="K31" i="1"/>
  <c r="I31" i="1"/>
  <c r="L29" i="1"/>
  <c r="K29" i="1"/>
  <c r="I29" i="1"/>
  <c r="L27" i="1"/>
  <c r="K27" i="1"/>
  <c r="I27" i="1"/>
  <c r="L25" i="1"/>
  <c r="K25" i="1"/>
  <c r="I25" i="1"/>
  <c r="L23" i="1"/>
  <c r="K23" i="1"/>
  <c r="I23" i="1"/>
  <c r="L21" i="1"/>
  <c r="K21" i="1"/>
  <c r="I21" i="1"/>
  <c r="L19" i="1"/>
  <c r="K19" i="1"/>
  <c r="I19" i="1"/>
  <c r="L17" i="1"/>
  <c r="K17" i="1"/>
  <c r="I17" i="1"/>
  <c r="L15" i="1"/>
  <c r="K15" i="1"/>
  <c r="I15" i="1"/>
  <c r="L13" i="1"/>
  <c r="K13" i="1"/>
  <c r="J13" i="1"/>
  <c r="I13" i="1"/>
  <c r="T89" i="1"/>
  <c r="S89" i="1"/>
  <c r="R89" i="1"/>
  <c r="T88" i="1"/>
  <c r="S88" i="1"/>
  <c r="R88" i="1"/>
  <c r="T87" i="1"/>
  <c r="S87" i="1"/>
  <c r="R87" i="1"/>
  <c r="T86" i="1"/>
  <c r="S86" i="1"/>
  <c r="R86" i="1"/>
  <c r="T85" i="1"/>
  <c r="S85" i="1"/>
  <c r="R85" i="1"/>
  <c r="T84" i="1"/>
  <c r="S84" i="1"/>
  <c r="R84" i="1"/>
  <c r="T83" i="1"/>
  <c r="S83" i="1"/>
  <c r="R83" i="1"/>
  <c r="T82" i="1"/>
  <c r="S82" i="1"/>
  <c r="R82" i="1"/>
  <c r="T81" i="1"/>
  <c r="S81" i="1"/>
  <c r="R81" i="1"/>
  <c r="T80" i="1"/>
  <c r="S80" i="1"/>
  <c r="R80" i="1"/>
  <c r="T79" i="1"/>
  <c r="S79" i="1"/>
  <c r="R79" i="1"/>
  <c r="T78" i="1"/>
  <c r="S78" i="1"/>
  <c r="R78" i="1"/>
  <c r="T77" i="1"/>
  <c r="S77" i="1"/>
  <c r="R77" i="1"/>
  <c r="T76" i="1"/>
  <c r="S76" i="1"/>
  <c r="R76" i="1"/>
  <c r="T75" i="1"/>
  <c r="S75" i="1"/>
  <c r="R75" i="1"/>
  <c r="T74" i="1"/>
  <c r="S74" i="1"/>
  <c r="R74" i="1"/>
  <c r="T73" i="1"/>
  <c r="S73" i="1"/>
  <c r="E71" i="4" s="1"/>
  <c r="R73" i="1"/>
  <c r="C71" i="4" s="1"/>
  <c r="T72" i="1"/>
  <c r="S72" i="1"/>
  <c r="R72" i="1"/>
  <c r="T71" i="1"/>
  <c r="S71" i="1"/>
  <c r="R71" i="1"/>
  <c r="T70" i="1"/>
  <c r="S70" i="1"/>
  <c r="R70" i="1"/>
  <c r="T69" i="1"/>
  <c r="S69" i="1"/>
  <c r="R69" i="1"/>
  <c r="T68" i="1"/>
  <c r="S68" i="1"/>
  <c r="R68" i="1"/>
  <c r="T67" i="1"/>
  <c r="S67" i="1"/>
  <c r="R67" i="1"/>
  <c r="T66" i="1"/>
  <c r="S66" i="1"/>
  <c r="R66" i="1"/>
  <c r="T65" i="1"/>
  <c r="S65" i="1"/>
  <c r="R65" i="1"/>
  <c r="T64" i="1"/>
  <c r="S64" i="1"/>
  <c r="R64" i="1"/>
  <c r="T63" i="1"/>
  <c r="S63" i="1"/>
  <c r="R63" i="1"/>
  <c r="T62" i="1"/>
  <c r="S62" i="1"/>
  <c r="R62" i="1"/>
  <c r="T61" i="1"/>
  <c r="S61" i="1"/>
  <c r="R61" i="1"/>
  <c r="T60" i="1"/>
  <c r="S60" i="1"/>
  <c r="R60" i="1"/>
  <c r="T59" i="1"/>
  <c r="S59" i="1"/>
  <c r="R59" i="1"/>
  <c r="T58" i="1"/>
  <c r="S58" i="1"/>
  <c r="R58" i="1"/>
  <c r="T57" i="1"/>
  <c r="S57" i="1"/>
  <c r="R57" i="1"/>
  <c r="T56" i="1"/>
  <c r="S56" i="1"/>
  <c r="R56" i="1"/>
  <c r="T55" i="1"/>
  <c r="S55" i="1"/>
  <c r="R55" i="1"/>
  <c r="T54" i="1"/>
  <c r="S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R45" i="1"/>
  <c r="T44" i="1"/>
  <c r="R44" i="1"/>
  <c r="T43" i="1"/>
  <c r="R43" i="1"/>
  <c r="T42" i="1"/>
  <c r="R42" i="1"/>
  <c r="T41" i="1"/>
  <c r="R41" i="1"/>
  <c r="T40" i="1"/>
  <c r="R40" i="1"/>
  <c r="T39" i="1"/>
  <c r="R39" i="1"/>
  <c r="T38" i="1"/>
  <c r="R38" i="1"/>
  <c r="T37" i="1"/>
  <c r="R37" i="1"/>
  <c r="T36" i="1"/>
  <c r="R36" i="1"/>
  <c r="T35" i="1"/>
  <c r="R35" i="1"/>
  <c r="T34" i="1"/>
  <c r="R34" i="1"/>
  <c r="T33" i="1"/>
  <c r="R33" i="1"/>
  <c r="T32" i="1"/>
  <c r="R32" i="1"/>
  <c r="T31" i="1"/>
  <c r="R31" i="1"/>
  <c r="T30" i="1"/>
  <c r="R30" i="1"/>
  <c r="T29" i="1"/>
  <c r="R29" i="1"/>
  <c r="T28" i="1"/>
  <c r="R28" i="1"/>
  <c r="T27" i="1"/>
  <c r="R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T16" i="1"/>
  <c r="R16" i="1"/>
  <c r="T15" i="1"/>
  <c r="R15" i="1"/>
  <c r="T14" i="1"/>
  <c r="R14" i="1"/>
  <c r="T13" i="1"/>
  <c r="S13" i="1"/>
  <c r="V13" i="1" s="1"/>
  <c r="R13" i="1"/>
  <c r="R12" i="1"/>
  <c r="T12" i="1"/>
  <c r="S12" i="1"/>
  <c r="AC91" i="1"/>
  <c r="I96" i="4" s="1"/>
  <c r="AB91" i="1"/>
  <c r="G96" i="4" s="1"/>
  <c r="Y91" i="1"/>
  <c r="C96" i="4" s="1"/>
  <c r="AA89" i="1"/>
  <c r="AA88" i="1" s="1"/>
  <c r="AD13" i="1"/>
  <c r="AD12" i="1"/>
  <c r="DM72" i="1"/>
  <c r="DM52" i="1"/>
  <c r="EB17" i="11"/>
  <c r="K71" i="4" l="1"/>
  <c r="M71" i="1"/>
  <c r="M73" i="1"/>
  <c r="M69" i="1"/>
  <c r="M67" i="1"/>
  <c r="M65" i="1"/>
  <c r="M63" i="1"/>
  <c r="M61" i="1"/>
  <c r="M59" i="1"/>
  <c r="M57" i="1"/>
  <c r="M55" i="1"/>
  <c r="M13" i="1"/>
  <c r="AD25" i="1"/>
  <c r="AD26" i="1"/>
  <c r="AA87" i="1"/>
  <c r="AD88" i="1"/>
  <c r="AD89" i="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F25" i="11"/>
  <c r="G89" i="11"/>
  <c r="F89" i="11"/>
  <c r="I89" i="11" s="1"/>
  <c r="E89" i="11"/>
  <c r="G88" i="11"/>
  <c r="F88" i="11"/>
  <c r="E88" i="11"/>
  <c r="G87" i="11"/>
  <c r="F87" i="11"/>
  <c r="I87" i="11" s="1"/>
  <c r="E87" i="11"/>
  <c r="G86" i="11"/>
  <c r="F86" i="11"/>
  <c r="E86" i="11"/>
  <c r="G85" i="11"/>
  <c r="F85" i="11"/>
  <c r="I85" i="11" s="1"/>
  <c r="E85" i="11"/>
  <c r="G84" i="11"/>
  <c r="F84" i="11"/>
  <c r="E84" i="11"/>
  <c r="I84" i="11" s="1"/>
  <c r="G83" i="11"/>
  <c r="F83" i="11"/>
  <c r="I83" i="11" s="1"/>
  <c r="E83" i="11"/>
  <c r="G82" i="11"/>
  <c r="F82" i="11"/>
  <c r="E82" i="11"/>
  <c r="I82" i="11" s="1"/>
  <c r="J83" i="11" s="1"/>
  <c r="G81" i="11"/>
  <c r="F81" i="11"/>
  <c r="E81" i="11"/>
  <c r="G80" i="11"/>
  <c r="F80" i="11"/>
  <c r="E80" i="11"/>
  <c r="I80" i="11" s="1"/>
  <c r="G79" i="11"/>
  <c r="F79" i="11"/>
  <c r="E79" i="11"/>
  <c r="G78" i="11"/>
  <c r="F78" i="11"/>
  <c r="E78" i="11"/>
  <c r="G77" i="11"/>
  <c r="F77" i="11"/>
  <c r="E77" i="11"/>
  <c r="G76" i="11"/>
  <c r="F76" i="11"/>
  <c r="E76" i="11"/>
  <c r="G75" i="11"/>
  <c r="F75" i="11"/>
  <c r="E75" i="11"/>
  <c r="G74" i="11"/>
  <c r="F74" i="11"/>
  <c r="E74" i="11"/>
  <c r="I74" i="11" s="1"/>
  <c r="G73" i="11"/>
  <c r="F73" i="11"/>
  <c r="E73" i="11"/>
  <c r="G72" i="11"/>
  <c r="F72" i="11"/>
  <c r="E72" i="11"/>
  <c r="G71" i="11"/>
  <c r="F71" i="11"/>
  <c r="E71" i="11"/>
  <c r="G70" i="11"/>
  <c r="F70" i="11"/>
  <c r="E70" i="11"/>
  <c r="G69" i="11"/>
  <c r="F69" i="11"/>
  <c r="E69" i="11"/>
  <c r="G68" i="11"/>
  <c r="F68" i="11"/>
  <c r="E68" i="11"/>
  <c r="G67" i="11"/>
  <c r="F67" i="11"/>
  <c r="E67" i="11"/>
  <c r="G66" i="11"/>
  <c r="F66" i="11"/>
  <c r="E66" i="11"/>
  <c r="G65" i="11"/>
  <c r="F65" i="11"/>
  <c r="E65" i="11"/>
  <c r="G64" i="11"/>
  <c r="F64" i="11"/>
  <c r="E64" i="11"/>
  <c r="I64" i="11" s="1"/>
  <c r="G63" i="11"/>
  <c r="F63" i="11"/>
  <c r="E63" i="11"/>
  <c r="G62" i="11"/>
  <c r="F62" i="11"/>
  <c r="E62" i="11"/>
  <c r="G61" i="11"/>
  <c r="F61" i="11"/>
  <c r="E61" i="11"/>
  <c r="G60" i="11"/>
  <c r="F60" i="11"/>
  <c r="E60" i="11"/>
  <c r="G59" i="11"/>
  <c r="F59" i="11"/>
  <c r="E59" i="11"/>
  <c r="G58" i="11"/>
  <c r="F58" i="11"/>
  <c r="E58" i="11"/>
  <c r="G57" i="11"/>
  <c r="F57" i="11"/>
  <c r="E57" i="11"/>
  <c r="G56" i="11"/>
  <c r="F56" i="11"/>
  <c r="E56" i="11"/>
  <c r="I56" i="11" s="1"/>
  <c r="G55" i="11"/>
  <c r="F55" i="11"/>
  <c r="E55" i="11"/>
  <c r="G54" i="11"/>
  <c r="F54" i="11"/>
  <c r="E54" i="11"/>
  <c r="G53" i="11"/>
  <c r="F53" i="11"/>
  <c r="E53" i="11"/>
  <c r="G52" i="11"/>
  <c r="F52" i="11"/>
  <c r="E52" i="11"/>
  <c r="G51" i="11"/>
  <c r="F51" i="11"/>
  <c r="E51" i="11"/>
  <c r="G50" i="11"/>
  <c r="F50" i="11"/>
  <c r="E50" i="11"/>
  <c r="G49" i="11"/>
  <c r="F49" i="11"/>
  <c r="E49" i="11"/>
  <c r="G48" i="11"/>
  <c r="F48" i="11"/>
  <c r="E48" i="11"/>
  <c r="G47" i="11"/>
  <c r="F47" i="11"/>
  <c r="E47" i="11"/>
  <c r="G46" i="11"/>
  <c r="F46" i="11"/>
  <c r="E46" i="11"/>
  <c r="G45" i="11"/>
  <c r="F45" i="11"/>
  <c r="E45" i="11"/>
  <c r="G44" i="11"/>
  <c r="F44" i="11"/>
  <c r="E44" i="11"/>
  <c r="G43" i="11"/>
  <c r="F43" i="11"/>
  <c r="E43" i="11"/>
  <c r="G42" i="11"/>
  <c r="F42" i="11"/>
  <c r="E42" i="11"/>
  <c r="G41" i="11"/>
  <c r="F41" i="11"/>
  <c r="E41" i="11"/>
  <c r="G40" i="11"/>
  <c r="F40" i="11"/>
  <c r="E40" i="11"/>
  <c r="G39" i="11"/>
  <c r="F39" i="11"/>
  <c r="E39" i="11"/>
  <c r="G38" i="11"/>
  <c r="F38" i="11"/>
  <c r="E38" i="11"/>
  <c r="G37" i="11"/>
  <c r="F37" i="11"/>
  <c r="E37" i="11"/>
  <c r="G36" i="11"/>
  <c r="F36" i="11"/>
  <c r="E36" i="11"/>
  <c r="G35" i="11"/>
  <c r="F35" i="11"/>
  <c r="E35" i="11"/>
  <c r="G34" i="11"/>
  <c r="F34" i="11"/>
  <c r="E34" i="11"/>
  <c r="G33" i="11"/>
  <c r="F33" i="11"/>
  <c r="E33" i="11"/>
  <c r="G32" i="11"/>
  <c r="F32" i="11"/>
  <c r="E32" i="11"/>
  <c r="G31" i="11"/>
  <c r="F31" i="11"/>
  <c r="E31" i="11"/>
  <c r="G30" i="11"/>
  <c r="F30" i="11"/>
  <c r="E30" i="11"/>
  <c r="G29" i="11"/>
  <c r="F29" i="11"/>
  <c r="E29" i="11"/>
  <c r="G28" i="11"/>
  <c r="F28" i="11"/>
  <c r="E28" i="11"/>
  <c r="G27" i="11"/>
  <c r="F27" i="11"/>
  <c r="E27" i="11"/>
  <c r="G26" i="11"/>
  <c r="F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Q91" i="11"/>
  <c r="P91" i="11"/>
  <c r="M91" i="11"/>
  <c r="R89" i="11"/>
  <c r="O89" i="11"/>
  <c r="O88" i="11"/>
  <c r="O87" i="11" s="1"/>
  <c r="W88" i="11"/>
  <c r="W87" i="11" s="1"/>
  <c r="W86" i="11" s="1"/>
  <c r="W85" i="11" s="1"/>
  <c r="W84" i="11" s="1"/>
  <c r="W83" i="11" s="1"/>
  <c r="W82" i="11" s="1"/>
  <c r="W81" i="11" s="1"/>
  <c r="W80" i="11" s="1"/>
  <c r="W79" i="11" s="1"/>
  <c r="W78" i="11" s="1"/>
  <c r="W77" i="11" s="1"/>
  <c r="W76" i="11" s="1"/>
  <c r="W75" i="11" s="1"/>
  <c r="W74" i="11" s="1"/>
  <c r="W73" i="11" s="1"/>
  <c r="W72" i="11" s="1"/>
  <c r="W71" i="11" s="1"/>
  <c r="W70" i="11" s="1"/>
  <c r="W69" i="11" s="1"/>
  <c r="W68" i="11" s="1"/>
  <c r="W67" i="11" s="1"/>
  <c r="W66" i="11" s="1"/>
  <c r="W65" i="11" s="1"/>
  <c r="W64" i="11" s="1"/>
  <c r="W63" i="11" s="1"/>
  <c r="W62" i="11" s="1"/>
  <c r="W61" i="11" s="1"/>
  <c r="W60" i="11" s="1"/>
  <c r="W59" i="11" s="1"/>
  <c r="W58" i="11" s="1"/>
  <c r="W57" i="11" s="1"/>
  <c r="W56" i="11" s="1"/>
  <c r="W55" i="11" s="1"/>
  <c r="W54" i="11" s="1"/>
  <c r="W53" i="11" s="1"/>
  <c r="W52" i="11" s="1"/>
  <c r="W51" i="11" s="1"/>
  <c r="W50" i="11" s="1"/>
  <c r="W49" i="11" s="1"/>
  <c r="W48" i="11" s="1"/>
  <c r="W47" i="11" s="1"/>
  <c r="W46" i="11" s="1"/>
  <c r="W45" i="11" s="1"/>
  <c r="W44" i="11" s="1"/>
  <c r="W43" i="11" s="1"/>
  <c r="W42" i="11" s="1"/>
  <c r="W41" i="11" s="1"/>
  <c r="W40" i="11" s="1"/>
  <c r="W39" i="11" s="1"/>
  <c r="W38" i="11" s="1"/>
  <c r="W37" i="11" s="1"/>
  <c r="W36" i="11" s="1"/>
  <c r="W35" i="11" s="1"/>
  <c r="W34" i="11" s="1"/>
  <c r="W33" i="11" s="1"/>
  <c r="W32" i="11" s="1"/>
  <c r="W31" i="11" s="1"/>
  <c r="W30" i="11" s="1"/>
  <c r="W29" i="11" s="1"/>
  <c r="W28" i="11" s="1"/>
  <c r="W27" i="11" s="1"/>
  <c r="W26" i="11" s="1"/>
  <c r="W25" i="11" s="1"/>
  <c r="W24" i="11" s="1"/>
  <c r="W23" i="11" s="1"/>
  <c r="W22" i="11" s="1"/>
  <c r="W21" i="11" s="1"/>
  <c r="W20" i="11" s="1"/>
  <c r="W19" i="11" s="1"/>
  <c r="W18" i="11" s="1"/>
  <c r="W17" i="11" s="1"/>
  <c r="W16" i="11" s="1"/>
  <c r="W15" i="11" s="1"/>
  <c r="W14" i="11" s="1"/>
  <c r="W13" i="11" s="1"/>
  <c r="W12" i="11" s="1"/>
  <c r="W91" i="11" s="1"/>
  <c r="W89" i="11"/>
  <c r="U91" i="11"/>
  <c r="X91" i="11"/>
  <c r="Y91" i="11"/>
  <c r="M71" i="9"/>
  <c r="M70" i="9"/>
  <c r="M69" i="9"/>
  <c r="M68" i="9"/>
  <c r="A1" i="9"/>
  <c r="A52" i="17"/>
  <c r="C42" i="17"/>
  <c r="C41" i="17"/>
  <c r="C40" i="17"/>
  <c r="C39" i="17"/>
  <c r="I38" i="17"/>
  <c r="C38" i="17"/>
  <c r="I37" i="17"/>
  <c r="C37" i="17"/>
  <c r="K37" i="17" s="1"/>
  <c r="C36" i="17"/>
  <c r="K36" i="17" s="1"/>
  <c r="C35" i="17"/>
  <c r="K35" i="17" s="1"/>
  <c r="I34" i="17"/>
  <c r="C34" i="17"/>
  <c r="K34" i="17" s="1"/>
  <c r="I33" i="17"/>
  <c r="C33" i="17"/>
  <c r="K33" i="17" s="1"/>
  <c r="I32" i="17"/>
  <c r="C32" i="17"/>
  <c r="K32" i="17" s="1"/>
  <c r="C31" i="17"/>
  <c r="C30" i="17"/>
  <c r="B29" i="17"/>
  <c r="B55" i="17" s="1"/>
  <c r="C29" i="17"/>
  <c r="I25" i="17"/>
  <c r="C25" i="17"/>
  <c r="I24" i="17"/>
  <c r="C24" i="17"/>
  <c r="I23" i="17"/>
  <c r="B23" i="17"/>
  <c r="C23" i="17" s="1"/>
  <c r="I22" i="17"/>
  <c r="C22" i="17"/>
  <c r="I21" i="17"/>
  <c r="C21" i="17"/>
  <c r="I20" i="17"/>
  <c r="C20" i="17"/>
  <c r="C19" i="17"/>
  <c r="N18" i="17"/>
  <c r="N17" i="17" s="1"/>
  <c r="P17" i="17" s="1"/>
  <c r="E17" i="17"/>
  <c r="B15" i="17"/>
  <c r="C15" i="17" s="1"/>
  <c r="B14" i="17"/>
  <c r="C14" i="17" s="1"/>
  <c r="B13" i="17"/>
  <c r="C13" i="17" s="1"/>
  <c r="O13" i="17" s="1"/>
  <c r="B12" i="17"/>
  <c r="C12" i="17" s="1"/>
  <c r="I11" i="17"/>
  <c r="B11" i="17"/>
  <c r="C11" i="17" s="1"/>
  <c r="O11" i="17" s="1"/>
  <c r="I10" i="17"/>
  <c r="B10" i="17"/>
  <c r="C10" i="17" s="1"/>
  <c r="I9" i="17"/>
  <c r="B9" i="17"/>
  <c r="C9" i="17"/>
  <c r="K9" i="17" s="1"/>
  <c r="C4" i="17"/>
  <c r="B57" i="17" l="1"/>
  <c r="B59" i="17" s="1"/>
  <c r="K12" i="17"/>
  <c r="O12" i="17"/>
  <c r="I12" i="17"/>
  <c r="P18" i="17"/>
  <c r="B17" i="17"/>
  <c r="B27" i="17" s="1"/>
  <c r="B44" i="17" s="1"/>
  <c r="I34" i="11"/>
  <c r="I42" i="11"/>
  <c r="I50" i="11"/>
  <c r="I58" i="11"/>
  <c r="J59" i="11" s="1"/>
  <c r="I66" i="11"/>
  <c r="I72" i="11"/>
  <c r="AD24" i="1"/>
  <c r="AD87" i="1"/>
  <c r="AA86" i="1"/>
  <c r="I31" i="11"/>
  <c r="I39" i="11"/>
  <c r="I47" i="11"/>
  <c r="I55" i="11"/>
  <c r="I63" i="11"/>
  <c r="I71" i="11"/>
  <c r="I79" i="11"/>
  <c r="I29" i="11"/>
  <c r="I37" i="11"/>
  <c r="I45" i="11"/>
  <c r="I53" i="11"/>
  <c r="I61" i="11"/>
  <c r="I69" i="11"/>
  <c r="I77" i="11"/>
  <c r="I32" i="11"/>
  <c r="I40" i="11"/>
  <c r="I48" i="11"/>
  <c r="I88" i="11"/>
  <c r="J89" i="11" s="1"/>
  <c r="I27" i="11"/>
  <c r="I35" i="11"/>
  <c r="J35" i="11" s="1"/>
  <c r="I43" i="11"/>
  <c r="J43" i="11" s="1"/>
  <c r="I51" i="11"/>
  <c r="J51" i="11" s="1"/>
  <c r="I59" i="11"/>
  <c r="I67" i="11"/>
  <c r="J67" i="11" s="1"/>
  <c r="I75" i="11"/>
  <c r="J75" i="11" s="1"/>
  <c r="I30" i="11"/>
  <c r="J31" i="11" s="1"/>
  <c r="I38" i="11"/>
  <c r="J39" i="11" s="1"/>
  <c r="I46" i="11"/>
  <c r="J47" i="11" s="1"/>
  <c r="I54" i="11"/>
  <c r="J55" i="11" s="1"/>
  <c r="I62" i="11"/>
  <c r="J63" i="11" s="1"/>
  <c r="I70" i="11"/>
  <c r="I78" i="11"/>
  <c r="I86" i="11"/>
  <c r="I33" i="11"/>
  <c r="I41" i="11"/>
  <c r="I49" i="11"/>
  <c r="I57" i="11"/>
  <c r="J57" i="11" s="1"/>
  <c r="I65" i="11"/>
  <c r="J65" i="11" s="1"/>
  <c r="I73" i="11"/>
  <c r="J73" i="11" s="1"/>
  <c r="I81" i="11"/>
  <c r="J81" i="11" s="1"/>
  <c r="I28" i="11"/>
  <c r="I36" i="11"/>
  <c r="I44" i="11"/>
  <c r="J45" i="11" s="1"/>
  <c r="I52" i="11"/>
  <c r="I60" i="11"/>
  <c r="J61" i="11" s="1"/>
  <c r="I68" i="11"/>
  <c r="J69" i="11" s="1"/>
  <c r="I76" i="11"/>
  <c r="F23" i="11"/>
  <c r="I23" i="11" s="1"/>
  <c r="I25" i="11"/>
  <c r="F24" i="11"/>
  <c r="I24" i="11" s="1"/>
  <c r="J25" i="11" s="1"/>
  <c r="I26" i="11"/>
  <c r="J27" i="11" s="1"/>
  <c r="J87" i="11"/>
  <c r="J29" i="11"/>
  <c r="J37" i="11"/>
  <c r="J77" i="11"/>
  <c r="J85" i="11"/>
  <c r="O86" i="11"/>
  <c r="R87" i="11"/>
  <c r="R88" i="11"/>
  <c r="K29" i="17"/>
  <c r="C46" i="17"/>
  <c r="K10" i="17"/>
  <c r="O10" i="17"/>
  <c r="K30" i="17"/>
  <c r="I30" i="17"/>
  <c r="K31" i="17"/>
  <c r="I31" i="17"/>
  <c r="I15" i="17"/>
  <c r="K15" i="17"/>
  <c r="O15" i="17"/>
  <c r="I14" i="17"/>
  <c r="I17" i="17" s="1"/>
  <c r="O14" i="17"/>
  <c r="K14" i="17"/>
  <c r="O9" i="17"/>
  <c r="I13" i="17"/>
  <c r="K11" i="17"/>
  <c r="C17" i="17"/>
  <c r="C27" i="17" s="1"/>
  <c r="C44" i="17" s="1"/>
  <c r="K13" i="17"/>
  <c r="K17" i="17" l="1"/>
  <c r="K27" i="17" s="1"/>
  <c r="K44" i="17" s="1"/>
  <c r="K46" i="17"/>
  <c r="K47" i="17"/>
  <c r="AD23" i="1"/>
  <c r="AA85" i="1"/>
  <c r="AD86" i="1"/>
  <c r="J53" i="11"/>
  <c r="J49" i="11"/>
  <c r="J41" i="11"/>
  <c r="J33" i="11"/>
  <c r="J79" i="11"/>
  <c r="J71" i="11"/>
  <c r="F22" i="11"/>
  <c r="I22" i="11" s="1"/>
  <c r="J23" i="11" s="1"/>
  <c r="R86" i="11"/>
  <c r="O85" i="11"/>
  <c r="L17" i="17"/>
  <c r="I27" i="17"/>
  <c r="L47" i="17" l="1"/>
  <c r="L46" i="17"/>
  <c r="AD22" i="1"/>
  <c r="AA84" i="1"/>
  <c r="AD85" i="1"/>
  <c r="F21" i="11"/>
  <c r="I21" i="11" s="1"/>
  <c r="O84" i="11"/>
  <c r="R85" i="11"/>
  <c r="L27" i="17"/>
  <c r="I44" i="17"/>
  <c r="AD21" i="1" l="1"/>
  <c r="AA83" i="1"/>
  <c r="AD84" i="1"/>
  <c r="F20" i="11"/>
  <c r="I20" i="11" s="1"/>
  <c r="J21" i="11" s="1"/>
  <c r="O83" i="11"/>
  <c r="R84" i="11"/>
  <c r="L44" i="17"/>
  <c r="AD20" i="1" l="1"/>
  <c r="AD83" i="1"/>
  <c r="AA82" i="1"/>
  <c r="F19" i="11"/>
  <c r="I19" i="11" s="1"/>
  <c r="O82" i="11"/>
  <c r="R83" i="11"/>
  <c r="AD19" i="1" l="1"/>
  <c r="AD82" i="1"/>
  <c r="AA81" i="1"/>
  <c r="R82" i="11"/>
  <c r="O81" i="11"/>
  <c r="AD18" i="1" l="1"/>
  <c r="AA80" i="1"/>
  <c r="AD81" i="1"/>
  <c r="F17" i="11"/>
  <c r="I17" i="11" s="1"/>
  <c r="O80" i="11"/>
  <c r="R81" i="11"/>
  <c r="AD17" i="1" l="1"/>
  <c r="AA79" i="1"/>
  <c r="AD80" i="1"/>
  <c r="F16" i="11"/>
  <c r="I16" i="11" s="1"/>
  <c r="J17" i="11" s="1"/>
  <c r="O79" i="11"/>
  <c r="R80" i="11"/>
  <c r="AD16" i="1" l="1"/>
  <c r="AD79" i="1"/>
  <c r="AA78" i="1"/>
  <c r="R79" i="11"/>
  <c r="O78" i="11"/>
  <c r="AD15" i="1" l="1"/>
  <c r="AD14" i="1"/>
  <c r="AA77" i="1"/>
  <c r="AD78" i="1"/>
  <c r="R78" i="11"/>
  <c r="O77" i="11"/>
  <c r="AA76" i="1" l="1"/>
  <c r="AD77" i="1"/>
  <c r="O76" i="11"/>
  <c r="R77" i="11"/>
  <c r="AA75" i="1" l="1"/>
  <c r="AD76" i="1"/>
  <c r="O75" i="11"/>
  <c r="R76" i="11"/>
  <c r="AD75" i="1" l="1"/>
  <c r="AA74" i="1"/>
  <c r="R75" i="11"/>
  <c r="O74" i="11"/>
  <c r="AD74" i="1" l="1"/>
  <c r="R74" i="11"/>
  <c r="O73" i="11"/>
  <c r="AD73" i="1" l="1"/>
  <c r="O72" i="11"/>
  <c r="R73" i="11"/>
  <c r="AD72" i="1" l="1"/>
  <c r="O71" i="11"/>
  <c r="R72" i="11"/>
  <c r="AD71" i="1" l="1"/>
  <c r="O70" i="11"/>
  <c r="R71" i="11"/>
  <c r="AD70" i="1" l="1"/>
  <c r="R70" i="11"/>
  <c r="O69" i="11"/>
  <c r="AD69" i="1" l="1"/>
  <c r="O68" i="11"/>
  <c r="R69" i="11"/>
  <c r="AD68" i="1" l="1"/>
  <c r="O67" i="11"/>
  <c r="R68" i="11"/>
  <c r="AD67" i="1" l="1"/>
  <c r="O66" i="11"/>
  <c r="R67" i="11"/>
  <c r="AD66" i="1" l="1"/>
  <c r="R66" i="11"/>
  <c r="O65" i="11"/>
  <c r="AD65" i="1" l="1"/>
  <c r="O64" i="11"/>
  <c r="R65" i="11"/>
  <c r="AD64" i="1" l="1"/>
  <c r="O63" i="11"/>
  <c r="R64" i="11"/>
  <c r="AD63" i="1" l="1"/>
  <c r="O62" i="11"/>
  <c r="R63" i="11"/>
  <c r="AD62" i="1" l="1"/>
  <c r="R62" i="11"/>
  <c r="O61" i="11"/>
  <c r="AD61" i="1" l="1"/>
  <c r="R61" i="11"/>
  <c r="O60" i="11"/>
  <c r="AD60" i="1" l="1"/>
  <c r="O59" i="11"/>
  <c r="R60" i="11"/>
  <c r="AD59" i="1" l="1"/>
  <c r="R59" i="11"/>
  <c r="O58" i="11"/>
  <c r="AD58" i="1" l="1"/>
  <c r="R58" i="11"/>
  <c r="O57" i="11"/>
  <c r="AD57" i="1" l="1"/>
  <c r="O56" i="11"/>
  <c r="R57" i="11"/>
  <c r="AD56" i="1" l="1"/>
  <c r="O55" i="11"/>
  <c r="R56" i="11"/>
  <c r="AD55" i="1" l="1"/>
  <c r="R55" i="11"/>
  <c r="O54" i="11"/>
  <c r="AD54" i="1" l="1"/>
  <c r="R54" i="11"/>
  <c r="O53" i="11"/>
  <c r="AD53" i="1" l="1"/>
  <c r="R53" i="11"/>
  <c r="O52" i="11"/>
  <c r="AD52" i="1" l="1"/>
  <c r="O51" i="11"/>
  <c r="R52" i="11"/>
  <c r="AD51" i="1" l="1"/>
  <c r="O50" i="11"/>
  <c r="R51" i="11"/>
  <c r="AD50" i="1" l="1"/>
  <c r="R50" i="11"/>
  <c r="O49" i="11"/>
  <c r="AD49" i="1" l="1"/>
  <c r="O48" i="11"/>
  <c r="R49" i="11"/>
  <c r="AD48" i="1" l="1"/>
  <c r="O47" i="11"/>
  <c r="R48" i="11"/>
  <c r="AM89" i="11"/>
  <c r="AP89" i="11" s="1"/>
  <c r="AE89" i="11"/>
  <c r="AE88" i="11" s="1"/>
  <c r="Z89" i="11"/>
  <c r="AG91" i="11"/>
  <c r="AF91" i="11"/>
  <c r="AC91" i="11"/>
  <c r="AO91" i="11"/>
  <c r="AN91" i="11"/>
  <c r="AK91" i="11"/>
  <c r="AD47" i="1" l="1"/>
  <c r="R47" i="11"/>
  <c r="O46" i="11"/>
  <c r="AH89" i="11"/>
  <c r="AM88" i="11"/>
  <c r="AP88" i="11" s="1"/>
  <c r="Z12" i="11"/>
  <c r="AH88" i="11"/>
  <c r="AE87" i="11"/>
  <c r="Z79" i="11"/>
  <c r="Z87" i="11"/>
  <c r="Z78" i="11"/>
  <c r="Z80" i="11"/>
  <c r="Z88" i="11"/>
  <c r="Z85" i="11"/>
  <c r="Z81" i="11"/>
  <c r="AD46" i="1" l="1"/>
  <c r="R46" i="11"/>
  <c r="O45" i="11"/>
  <c r="Z65" i="11"/>
  <c r="Z57" i="11"/>
  <c r="Z70" i="11"/>
  <c r="Z71" i="11"/>
  <c r="Z84" i="11"/>
  <c r="Z27" i="11"/>
  <c r="Z42" i="11"/>
  <c r="Z43" i="11"/>
  <c r="Z49" i="11"/>
  <c r="Z54" i="11"/>
  <c r="Z63" i="11"/>
  <c r="Z76" i="11"/>
  <c r="Z66" i="11"/>
  <c r="Z33" i="11"/>
  <c r="Z72" i="11"/>
  <c r="Z77" i="11"/>
  <c r="Z55" i="11"/>
  <c r="Z68" i="11"/>
  <c r="Z64" i="11"/>
  <c r="Z36" i="11"/>
  <c r="Z56" i="11"/>
  <c r="Z37" i="11"/>
  <c r="Z86" i="11"/>
  <c r="Z20" i="11"/>
  <c r="AM87" i="11"/>
  <c r="Z17" i="11"/>
  <c r="Z15" i="11"/>
  <c r="Z69" i="11"/>
  <c r="Z32" i="11"/>
  <c r="Z74" i="11"/>
  <c r="Z62" i="11"/>
  <c r="Z83" i="11"/>
  <c r="Z53" i="11"/>
  <c r="Z73" i="11"/>
  <c r="Z61" i="11"/>
  <c r="Z16" i="11"/>
  <c r="Z82" i="11"/>
  <c r="Z75" i="11"/>
  <c r="AP87" i="11"/>
  <c r="AM86" i="11"/>
  <c r="Z25" i="11"/>
  <c r="Z24" i="11"/>
  <c r="Z34" i="11"/>
  <c r="Z28" i="11"/>
  <c r="Z35" i="11"/>
  <c r="Z21" i="11"/>
  <c r="Z46" i="11"/>
  <c r="Z19" i="11"/>
  <c r="Z47" i="11"/>
  <c r="Z30" i="11"/>
  <c r="Z58" i="11"/>
  <c r="Z50" i="11"/>
  <c r="Z39" i="11"/>
  <c r="Z14" i="11"/>
  <c r="Z60" i="11"/>
  <c r="Z67" i="11"/>
  <c r="Z18" i="11"/>
  <c r="Z29" i="11"/>
  <c r="Z48" i="11"/>
  <c r="Z38" i="11"/>
  <c r="Z26" i="11"/>
  <c r="Z31" i="11"/>
  <c r="Z45" i="11"/>
  <c r="Z52" i="11"/>
  <c r="Z59" i="11"/>
  <c r="Z41" i="11"/>
  <c r="Z13" i="11"/>
  <c r="Z40" i="11"/>
  <c r="Z22" i="11"/>
  <c r="Z23" i="11"/>
  <c r="Z44" i="11"/>
  <c r="Z51" i="11"/>
  <c r="AH87" i="11"/>
  <c r="AE86" i="11"/>
  <c r="AD45" i="1" l="1"/>
  <c r="R45" i="11"/>
  <c r="O44" i="11"/>
  <c r="AP86" i="11"/>
  <c r="AM85" i="11"/>
  <c r="AE85" i="11"/>
  <c r="AH86" i="11"/>
  <c r="AD44" i="1" l="1"/>
  <c r="O43" i="11"/>
  <c r="R44" i="11"/>
  <c r="AM84" i="11"/>
  <c r="AP85" i="11"/>
  <c r="AE84" i="11"/>
  <c r="AH85" i="11"/>
  <c r="AD43" i="1" l="1"/>
  <c r="O42" i="11"/>
  <c r="R43" i="11"/>
  <c r="AP84" i="11"/>
  <c r="AM83" i="11"/>
  <c r="AH84" i="11"/>
  <c r="AE83" i="11"/>
  <c r="AD42" i="1" l="1"/>
  <c r="R42" i="11"/>
  <c r="O41" i="11"/>
  <c r="AP83" i="11"/>
  <c r="AM82" i="11"/>
  <c r="AH83" i="11"/>
  <c r="AE82" i="11"/>
  <c r="AD41" i="1" l="1"/>
  <c r="O40" i="11"/>
  <c r="R41" i="11"/>
  <c r="AP82" i="11"/>
  <c r="AM81" i="11"/>
  <c r="AE81" i="11"/>
  <c r="AH82" i="11"/>
  <c r="AD40" i="1" l="1"/>
  <c r="O39" i="11"/>
  <c r="R40" i="11"/>
  <c r="AP81" i="11"/>
  <c r="AM80" i="11"/>
  <c r="AE80" i="11"/>
  <c r="AH81" i="11"/>
  <c r="AD39" i="1" l="1"/>
  <c r="R39" i="11"/>
  <c r="O38" i="11"/>
  <c r="AP80" i="11"/>
  <c r="AM79" i="11"/>
  <c r="AH80" i="11"/>
  <c r="AE79" i="11"/>
  <c r="AD38" i="1" l="1"/>
  <c r="R38" i="11"/>
  <c r="O37" i="11"/>
  <c r="AP79" i="11"/>
  <c r="AM78" i="11"/>
  <c r="AH79" i="11"/>
  <c r="AE78" i="11"/>
  <c r="AD37" i="1" l="1"/>
  <c r="O36" i="11"/>
  <c r="R37" i="11"/>
  <c r="AP78" i="11"/>
  <c r="AM77" i="11"/>
  <c r="AE77" i="11"/>
  <c r="AH78" i="11"/>
  <c r="AD36" i="1" l="1"/>
  <c r="O35" i="11"/>
  <c r="R36" i="11"/>
  <c r="AM76" i="11"/>
  <c r="AP77" i="11"/>
  <c r="AE76" i="11"/>
  <c r="AH77" i="11"/>
  <c r="AD35" i="1" l="1"/>
  <c r="O34" i="11"/>
  <c r="R35" i="11"/>
  <c r="AM75" i="11"/>
  <c r="AP76" i="11"/>
  <c r="AH76" i="11"/>
  <c r="AE75" i="11"/>
  <c r="AD34" i="1" l="1"/>
  <c r="R34" i="11"/>
  <c r="O33" i="11"/>
  <c r="AP75" i="11"/>
  <c r="AM74" i="11"/>
  <c r="AH75" i="11"/>
  <c r="AE74" i="11"/>
  <c r="AD33" i="1" l="1"/>
  <c r="R33" i="11"/>
  <c r="O32" i="11"/>
  <c r="AP74" i="11"/>
  <c r="AM73" i="11"/>
  <c r="AE73" i="11"/>
  <c r="AH74" i="11"/>
  <c r="AD32" i="1" l="1"/>
  <c r="O31" i="11"/>
  <c r="R32" i="11"/>
  <c r="AP73" i="11"/>
  <c r="AM72" i="11"/>
  <c r="AH73" i="11"/>
  <c r="AE72" i="11"/>
  <c r="AD31" i="1" l="1"/>
  <c r="O30" i="11"/>
  <c r="R31" i="11"/>
  <c r="AM71" i="11"/>
  <c r="AP72" i="11"/>
  <c r="AH72" i="11"/>
  <c r="AE71" i="11"/>
  <c r="AD30" i="1" l="1"/>
  <c r="R30" i="11"/>
  <c r="O29" i="11"/>
  <c r="AP71" i="11"/>
  <c r="AM70" i="11"/>
  <c r="AH71" i="11"/>
  <c r="AE70" i="11"/>
  <c r="AD29" i="1" l="1"/>
  <c r="O28" i="11"/>
  <c r="R29" i="11"/>
  <c r="AP70" i="11"/>
  <c r="AM69" i="11"/>
  <c r="AE69" i="11"/>
  <c r="AH70" i="11"/>
  <c r="AD28" i="1" l="1"/>
  <c r="O27" i="11"/>
  <c r="R28" i="11"/>
  <c r="AP69" i="11"/>
  <c r="AM68" i="11"/>
  <c r="AE68" i="11"/>
  <c r="AH69" i="11"/>
  <c r="AD27" i="1" l="1"/>
  <c r="AD91" i="1" s="1"/>
  <c r="AA91" i="1"/>
  <c r="E96" i="4" s="1"/>
  <c r="R27" i="11"/>
  <c r="AP68" i="11"/>
  <c r="AM67" i="11"/>
  <c r="AH68" i="11"/>
  <c r="AE67" i="11"/>
  <c r="K96" i="4" l="1"/>
  <c r="AD93" i="1"/>
  <c r="AP67" i="11"/>
  <c r="AM66" i="11"/>
  <c r="AH67" i="11"/>
  <c r="AE66" i="11"/>
  <c r="AP66" i="11" l="1"/>
  <c r="AM65" i="11"/>
  <c r="AE65" i="11"/>
  <c r="AH66" i="11"/>
  <c r="AM64" i="11" l="1"/>
  <c r="AP65" i="11"/>
  <c r="AE64" i="11"/>
  <c r="AH65" i="11"/>
  <c r="AM63" i="11" l="1"/>
  <c r="AP64" i="11"/>
  <c r="AH64" i="11"/>
  <c r="AE63" i="11"/>
  <c r="AP63" i="11" l="1"/>
  <c r="AM62" i="11"/>
  <c r="AH63" i="11"/>
  <c r="AE62" i="11"/>
  <c r="AP62" i="11" l="1"/>
  <c r="AM61" i="11"/>
  <c r="AE61" i="11"/>
  <c r="AH62" i="11"/>
  <c r="AP61" i="11" l="1"/>
  <c r="AM60" i="11"/>
  <c r="AE60" i="11"/>
  <c r="AH61" i="11"/>
  <c r="AM59" i="11" l="1"/>
  <c r="AP60" i="11"/>
  <c r="AH60" i="11"/>
  <c r="AE59" i="11"/>
  <c r="AP59" i="11" l="1"/>
  <c r="AM58" i="11"/>
  <c r="AH59" i="11"/>
  <c r="AE58" i="11"/>
  <c r="AP58" i="11" l="1"/>
  <c r="AM57" i="11"/>
  <c r="AE57" i="11"/>
  <c r="AH58" i="11"/>
  <c r="AM56" i="11" l="1"/>
  <c r="AP57" i="11"/>
  <c r="AE56" i="11"/>
  <c r="AH57" i="11"/>
  <c r="AM55" i="11" l="1"/>
  <c r="AP56" i="11"/>
  <c r="AH56" i="11"/>
  <c r="AE55" i="11"/>
  <c r="AP55" i="11" l="1"/>
  <c r="AM54" i="11"/>
  <c r="AH55" i="11"/>
  <c r="AE54" i="11"/>
  <c r="R13" i="11" l="1"/>
  <c r="AP54" i="11"/>
  <c r="AM53" i="11"/>
  <c r="AE53" i="11"/>
  <c r="AH54" i="11"/>
  <c r="O91" i="11" l="1"/>
  <c r="R12" i="11"/>
  <c r="R91" i="11" s="1"/>
  <c r="AP53" i="11"/>
  <c r="AM52" i="11"/>
  <c r="AE52" i="11"/>
  <c r="AH53" i="11"/>
  <c r="AM51" i="11" l="1"/>
  <c r="AP52" i="11"/>
  <c r="AH52" i="11"/>
  <c r="AE51" i="11"/>
  <c r="AP51" i="11" l="1"/>
  <c r="AM50" i="11"/>
  <c r="AH51" i="11"/>
  <c r="AE50" i="11"/>
  <c r="AP50" i="11" l="1"/>
  <c r="AM49" i="11"/>
  <c r="AE49" i="11"/>
  <c r="AH50" i="11"/>
  <c r="AM48" i="11" l="1"/>
  <c r="AP49" i="11"/>
  <c r="AE48" i="11"/>
  <c r="AH49" i="11"/>
  <c r="AM47" i="11" l="1"/>
  <c r="AP48" i="11"/>
  <c r="AH48" i="11"/>
  <c r="AE47" i="11"/>
  <c r="AP47" i="11" l="1"/>
  <c r="AM46" i="11"/>
  <c r="AH47" i="11"/>
  <c r="AE46" i="11"/>
  <c r="AP46" i="11" l="1"/>
  <c r="AM45" i="11"/>
  <c r="AE45" i="11"/>
  <c r="AH46" i="11"/>
  <c r="AM44" i="11" l="1"/>
  <c r="AP45" i="11"/>
  <c r="AH45" i="11"/>
  <c r="AE44" i="11"/>
  <c r="AM43" i="11" l="1"/>
  <c r="AP44" i="11"/>
  <c r="AH44" i="11"/>
  <c r="AE43" i="11"/>
  <c r="AP43" i="11" l="1"/>
  <c r="AM42" i="11"/>
  <c r="AH43" i="11"/>
  <c r="AE42" i="11"/>
  <c r="AP42" i="11" l="1"/>
  <c r="AM41" i="11"/>
  <c r="AE41" i="11"/>
  <c r="AH42" i="11"/>
  <c r="AP41" i="11" l="1"/>
  <c r="AM40" i="11"/>
  <c r="AE40" i="11"/>
  <c r="AH41" i="11"/>
  <c r="AM39" i="11" l="1"/>
  <c r="AP40" i="11"/>
  <c r="AH40" i="11"/>
  <c r="AE39" i="11"/>
  <c r="AP39" i="11" l="1"/>
  <c r="AM38" i="11"/>
  <c r="AH39" i="11"/>
  <c r="AE38" i="11"/>
  <c r="AP38" i="11" l="1"/>
  <c r="AM37" i="11"/>
  <c r="AE37" i="11"/>
  <c r="AH38" i="11"/>
  <c r="AM36" i="11" l="1"/>
  <c r="AP37" i="11"/>
  <c r="AE36" i="11"/>
  <c r="AH37" i="11"/>
  <c r="AM35" i="11" l="1"/>
  <c r="AP36" i="11"/>
  <c r="AH36" i="11"/>
  <c r="AE35" i="11"/>
  <c r="AP35" i="11" l="1"/>
  <c r="AM34" i="11"/>
  <c r="AH35" i="11"/>
  <c r="AE34" i="11"/>
  <c r="AP34" i="11" l="1"/>
  <c r="AM33" i="11"/>
  <c r="AE33" i="11"/>
  <c r="AH34" i="11"/>
  <c r="AP33" i="11" l="1"/>
  <c r="AM32" i="11"/>
  <c r="AE32" i="11"/>
  <c r="AH33" i="11"/>
  <c r="AM31" i="11" l="1"/>
  <c r="AP32" i="11"/>
  <c r="AH32" i="11"/>
  <c r="AE31" i="11"/>
  <c r="AP31" i="11" l="1"/>
  <c r="AM30" i="11"/>
  <c r="AH31" i="11"/>
  <c r="AE30" i="11"/>
  <c r="AP30" i="11" l="1"/>
  <c r="AM29" i="11"/>
  <c r="AE29" i="11"/>
  <c r="AH30" i="11"/>
  <c r="AM28" i="11" l="1"/>
  <c r="AP29" i="11"/>
  <c r="AH29" i="11"/>
  <c r="AE28" i="11"/>
  <c r="AM27" i="11" l="1"/>
  <c r="AP28" i="11"/>
  <c r="AH28" i="11"/>
  <c r="AE27" i="11"/>
  <c r="AP27" i="11" l="1"/>
  <c r="AM26" i="11"/>
  <c r="AH27" i="11"/>
  <c r="AE26" i="11"/>
  <c r="AP26" i="11" l="1"/>
  <c r="AM25" i="11"/>
  <c r="AE25" i="11"/>
  <c r="AH26" i="11"/>
  <c r="AP25" i="11" l="1"/>
  <c r="AM24" i="11"/>
  <c r="AE24" i="11"/>
  <c r="AH25" i="11"/>
  <c r="AM23" i="11" l="1"/>
  <c r="AP24" i="11"/>
  <c r="AH24" i="11"/>
  <c r="AE23" i="11"/>
  <c r="AP23" i="11" l="1"/>
  <c r="AM22" i="11"/>
  <c r="AH23" i="11"/>
  <c r="AE22" i="11"/>
  <c r="AP22" i="11" l="1"/>
  <c r="AM21" i="11"/>
  <c r="AE21" i="11"/>
  <c r="AH22" i="11"/>
  <c r="AM20" i="11" l="1"/>
  <c r="AP21" i="11"/>
  <c r="AE20" i="11"/>
  <c r="AH21" i="11"/>
  <c r="AM19" i="11" l="1"/>
  <c r="AP20" i="11"/>
  <c r="AH20" i="11"/>
  <c r="AE19" i="11"/>
  <c r="AP19" i="11" l="1"/>
  <c r="AM18" i="11"/>
  <c r="AH19" i="11"/>
  <c r="AE18" i="11"/>
  <c r="AP18" i="11" l="1"/>
  <c r="AM17" i="11"/>
  <c r="AE17" i="11"/>
  <c r="AH18" i="11"/>
  <c r="AP17" i="11" l="1"/>
  <c r="AM16" i="11"/>
  <c r="AH17" i="11"/>
  <c r="AE16" i="11"/>
  <c r="AM15" i="11" l="1"/>
  <c r="AP16" i="11"/>
  <c r="AH16" i="11"/>
  <c r="AE15" i="11"/>
  <c r="AP15" i="11" l="1"/>
  <c r="AM14" i="11"/>
  <c r="AH15" i="11"/>
  <c r="AE14" i="11"/>
  <c r="AP14" i="11" l="1"/>
  <c r="AM13" i="11"/>
  <c r="AP13" i="11" s="1"/>
  <c r="AE13" i="11"/>
  <c r="AH13" i="11" s="1"/>
  <c r="AH14" i="11"/>
  <c r="AM12" i="11" l="1"/>
  <c r="AP12" i="11" s="1"/>
  <c r="AE12" i="11" l="1"/>
  <c r="Z91" i="11"/>
  <c r="AE91" i="11"/>
  <c r="AP91" i="11"/>
  <c r="AM91" i="11"/>
  <c r="AH12" i="11" l="1"/>
  <c r="AH91" i="11" s="1"/>
  <c r="L89" i="1" l="1"/>
  <c r="K89" i="1"/>
  <c r="I89" i="1"/>
  <c r="L87" i="1"/>
  <c r="K87" i="1"/>
  <c r="I87" i="1"/>
  <c r="L85" i="1"/>
  <c r="K85" i="1"/>
  <c r="I85" i="1"/>
  <c r="AK91" i="1"/>
  <c r="AJ91" i="1"/>
  <c r="AG91" i="1"/>
  <c r="AI89" i="1"/>
  <c r="AI88" i="1" s="1"/>
  <c r="AI87" i="1" l="1"/>
  <c r="AL87" i="1" s="1"/>
  <c r="AL89" i="1"/>
  <c r="AL88" i="1"/>
  <c r="AI86" i="1" l="1"/>
  <c r="AL86" i="1"/>
  <c r="AI85" i="1"/>
  <c r="AI84" i="1" l="1"/>
  <c r="AL85" i="1"/>
  <c r="AI83" i="1" l="1"/>
  <c r="AL84" i="1"/>
  <c r="AL83" i="1" l="1"/>
  <c r="AI82" i="1"/>
  <c r="AL82" i="1" l="1"/>
  <c r="AI81" i="1"/>
  <c r="AL81" i="1" l="1"/>
  <c r="AI80" i="1"/>
  <c r="AI79" i="1" l="1"/>
  <c r="AL80" i="1"/>
  <c r="AL79" i="1" l="1"/>
  <c r="AI78" i="1"/>
  <c r="AL78" i="1" l="1"/>
  <c r="AI77" i="1"/>
  <c r="AI76" i="1" l="1"/>
  <c r="AL77" i="1"/>
  <c r="AI75" i="1" l="1"/>
  <c r="AL76" i="1"/>
  <c r="AL75" i="1" l="1"/>
  <c r="AI74" i="1"/>
  <c r="AL74" i="1" l="1"/>
  <c r="AI73" i="1"/>
  <c r="AI72" i="1" l="1"/>
  <c r="AL73" i="1"/>
  <c r="AI71" i="1" l="1"/>
  <c r="AL72" i="1"/>
  <c r="AL71" i="1" l="1"/>
  <c r="AI70" i="1"/>
  <c r="AL70" i="1" l="1"/>
  <c r="AI69" i="1"/>
  <c r="AI68" i="1" l="1"/>
  <c r="AL69" i="1"/>
  <c r="AI67" i="1" l="1"/>
  <c r="AL68" i="1"/>
  <c r="AL67" i="1" l="1"/>
  <c r="AI66" i="1"/>
  <c r="AL66" i="1" l="1"/>
  <c r="AI65" i="1"/>
  <c r="AL65" i="1" l="1"/>
  <c r="AI64" i="1"/>
  <c r="AI63" i="1" l="1"/>
  <c r="AL64" i="1"/>
  <c r="AL63" i="1" l="1"/>
  <c r="AI62" i="1"/>
  <c r="AL62" i="1" l="1"/>
  <c r="AI61" i="1"/>
  <c r="AI60" i="1" l="1"/>
  <c r="AL61" i="1"/>
  <c r="AI59" i="1" l="1"/>
  <c r="AL60" i="1"/>
  <c r="AL59" i="1" l="1"/>
  <c r="AI58" i="1"/>
  <c r="AL58" i="1" l="1"/>
  <c r="AI57" i="1"/>
  <c r="AI56" i="1" l="1"/>
  <c r="AL57" i="1"/>
  <c r="AI55" i="1" l="1"/>
  <c r="AL56" i="1"/>
  <c r="AL55" i="1" l="1"/>
  <c r="AI54" i="1"/>
  <c r="AL54" i="1" l="1"/>
  <c r="AI53" i="1"/>
  <c r="AL53" i="1" l="1"/>
  <c r="AI52" i="1"/>
  <c r="AI51" i="1" l="1"/>
  <c r="AL52" i="1"/>
  <c r="AL51" i="1" l="1"/>
  <c r="AI50" i="1"/>
  <c r="AL50" i="1" l="1"/>
  <c r="AI49" i="1"/>
  <c r="AI48" i="1" l="1"/>
  <c r="AL49" i="1"/>
  <c r="AI47" i="1" l="1"/>
  <c r="AL48" i="1"/>
  <c r="AL47" i="1" l="1"/>
  <c r="AI46" i="1"/>
  <c r="AL46" i="1" l="1"/>
  <c r="AI45" i="1"/>
  <c r="AI44" i="1" l="1"/>
  <c r="AL45" i="1"/>
  <c r="AI43" i="1" l="1"/>
  <c r="AL44" i="1"/>
  <c r="AL43" i="1" l="1"/>
  <c r="AI42" i="1"/>
  <c r="AL42" i="1" l="1"/>
  <c r="AI41" i="1"/>
  <c r="AL41" i="1" l="1"/>
  <c r="AI40" i="1"/>
  <c r="AI39" i="1" l="1"/>
  <c r="AL40" i="1"/>
  <c r="AL39" i="1" l="1"/>
  <c r="AI38" i="1"/>
  <c r="AL38" i="1" l="1"/>
  <c r="AI37" i="1"/>
  <c r="AI36" i="1" l="1"/>
  <c r="AL37" i="1"/>
  <c r="AI35" i="1" l="1"/>
  <c r="AL36" i="1"/>
  <c r="AL35" i="1" l="1"/>
  <c r="AI34" i="1"/>
  <c r="AL34" i="1" l="1"/>
  <c r="AI33" i="1"/>
  <c r="AL33" i="1" l="1"/>
  <c r="AI32" i="1"/>
  <c r="AI31" i="1" l="1"/>
  <c r="AL32" i="1"/>
  <c r="AL31" i="1" l="1"/>
  <c r="AI30" i="1"/>
  <c r="AL30" i="1" l="1"/>
  <c r="AI29" i="1"/>
  <c r="AI28" i="1" s="1"/>
  <c r="AI27" i="1" s="1"/>
  <c r="AL29" i="1" l="1"/>
  <c r="AL28" i="1" l="1"/>
  <c r="AL27" i="1" l="1"/>
  <c r="AL26" i="1" l="1"/>
  <c r="AL25" i="1" l="1"/>
  <c r="AL24" i="1" l="1"/>
  <c r="AL23" i="1" l="1"/>
  <c r="AL22" i="1" l="1"/>
  <c r="AL21" i="1" l="1"/>
  <c r="AL20" i="1" l="1"/>
  <c r="AL19" i="1" l="1"/>
  <c r="AL18" i="1" l="1"/>
  <c r="AL17" i="1" l="1"/>
  <c r="AL16" i="1" l="1"/>
  <c r="AL15" i="1" l="1"/>
  <c r="AL14" i="1" l="1"/>
  <c r="AL13" i="1" l="1"/>
  <c r="AL12" i="1" l="1"/>
  <c r="AL91" i="1" s="1"/>
  <c r="AI91" i="1"/>
  <c r="GR12" i="1" l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80" i="1"/>
  <c r="GR81" i="1"/>
  <c r="GR82" i="1"/>
  <c r="GR83" i="1"/>
  <c r="GR84" i="1"/>
  <c r="GR85" i="1"/>
  <c r="GR86" i="1"/>
  <c r="GR87" i="1"/>
  <c r="GR88" i="1"/>
  <c r="GR89" i="1"/>
  <c r="GN91" i="1"/>
  <c r="GP91" i="1"/>
  <c r="GQ91" i="1"/>
  <c r="GR91" i="1" l="1"/>
  <c r="FO27" i="1" l="1"/>
  <c r="FO26" i="1" s="1"/>
  <c r="FO25" i="1" s="1"/>
  <c r="FO24" i="1" s="1"/>
  <c r="FO23" i="1" s="1"/>
  <c r="FO22" i="1" s="1"/>
  <c r="FO21" i="1" s="1"/>
  <c r="FO20" i="1" s="1"/>
  <c r="FO19" i="1" s="1"/>
  <c r="FO18" i="1" s="1"/>
  <c r="FO17" i="1" s="1"/>
  <c r="FO16" i="1" s="1"/>
  <c r="FO15" i="1" s="1"/>
  <c r="FO14" i="1" s="1"/>
  <c r="FO13" i="1" s="1"/>
  <c r="FO12" i="1" s="1"/>
  <c r="FI27" i="1"/>
  <c r="FI26" i="1" s="1"/>
  <c r="FI25" i="1" s="1"/>
  <c r="FI24" i="1" s="1"/>
  <c r="FI23" i="1" s="1"/>
  <c r="FI22" i="1" s="1"/>
  <c r="FI21" i="1" s="1"/>
  <c r="FI20" i="1" s="1"/>
  <c r="FI19" i="1" s="1"/>
  <c r="FI18" i="1" s="1"/>
  <c r="FI17" i="1" s="1"/>
  <c r="FI16" i="1" s="1"/>
  <c r="FI15" i="1" s="1"/>
  <c r="FI14" i="1" s="1"/>
  <c r="FI13" i="1" s="1"/>
  <c r="FI12" i="1" s="1"/>
  <c r="BG89" i="1" l="1"/>
  <c r="BG88" i="1" s="1"/>
  <c r="BG87" i="1" s="1"/>
  <c r="BG86" i="1" s="1"/>
  <c r="BG85" i="1" s="1"/>
  <c r="BG84" i="1" s="1"/>
  <c r="BG83" i="1" s="1"/>
  <c r="BG82" i="1" s="1"/>
  <c r="BG81" i="1" s="1"/>
  <c r="BG80" i="1" s="1"/>
  <c r="BG79" i="1" s="1"/>
  <c r="BG78" i="1" s="1"/>
  <c r="BG77" i="1" s="1"/>
  <c r="BG76" i="1" s="1"/>
  <c r="BG75" i="1" s="1"/>
  <c r="BG74" i="1" s="1"/>
  <c r="BG73" i="1" s="1"/>
  <c r="BG72" i="1" s="1"/>
  <c r="BG71" i="1" s="1"/>
  <c r="BG70" i="1" s="1"/>
  <c r="BG69" i="1" s="1"/>
  <c r="BG68" i="1" s="1"/>
  <c r="BG67" i="1" s="1"/>
  <c r="BG66" i="1" s="1"/>
  <c r="BG65" i="1" s="1"/>
  <c r="BG64" i="1" s="1"/>
  <c r="BG63" i="1" s="1"/>
  <c r="BG62" i="1" s="1"/>
  <c r="BG61" i="1" s="1"/>
  <c r="BG60" i="1" s="1"/>
  <c r="BG59" i="1" s="1"/>
  <c r="BG58" i="1" s="1"/>
  <c r="BG57" i="1" s="1"/>
  <c r="BG56" i="1" s="1"/>
  <c r="BG55" i="1" s="1"/>
  <c r="BG54" i="1" s="1"/>
  <c r="BG53" i="1" s="1"/>
  <c r="BG52" i="1" s="1"/>
  <c r="BG51" i="1" s="1"/>
  <c r="BG50" i="1" s="1"/>
  <c r="BG49" i="1" s="1"/>
  <c r="BG48" i="1" s="1"/>
  <c r="BG47" i="1" s="1"/>
  <c r="BG46" i="1" s="1"/>
  <c r="BG45" i="1" s="1"/>
  <c r="BG44" i="1" s="1"/>
  <c r="BG43" i="1" s="1"/>
  <c r="BG42" i="1" s="1"/>
  <c r="BG41" i="1" s="1"/>
  <c r="BG40" i="1" s="1"/>
  <c r="BG39" i="1" s="1"/>
  <c r="BG38" i="1" s="1"/>
  <c r="BG37" i="1" s="1"/>
  <c r="BG36" i="1" s="1"/>
  <c r="BG35" i="1" s="1"/>
  <c r="BG34" i="1" s="1"/>
  <c r="BG33" i="1" s="1"/>
  <c r="BG32" i="1" s="1"/>
  <c r="BG31" i="1" s="1"/>
  <c r="BG30" i="1" s="1"/>
  <c r="BG29" i="1" s="1"/>
  <c r="BG28" i="1" s="1"/>
  <c r="BG27" i="1" s="1"/>
  <c r="BG26" i="1" s="1"/>
  <c r="BG25" i="1" s="1"/>
  <c r="BG24" i="1" s="1"/>
  <c r="AY89" i="1"/>
  <c r="AY88" i="1" s="1"/>
  <c r="AY87" i="1" s="1"/>
  <c r="AY86" i="1" s="1"/>
  <c r="AY85" i="1" s="1"/>
  <c r="AY84" i="1" s="1"/>
  <c r="AY83" i="1" s="1"/>
  <c r="AY82" i="1" s="1"/>
  <c r="AY81" i="1" s="1"/>
  <c r="AY80" i="1" s="1"/>
  <c r="AY79" i="1" s="1"/>
  <c r="AY78" i="1" s="1"/>
  <c r="AY77" i="1" s="1"/>
  <c r="AY76" i="1" s="1"/>
  <c r="AY75" i="1" s="1"/>
  <c r="AY74" i="1" s="1"/>
  <c r="AY73" i="1" s="1"/>
  <c r="AY72" i="1" s="1"/>
  <c r="AY71" i="1" s="1"/>
  <c r="AY70" i="1" s="1"/>
  <c r="AY69" i="1" s="1"/>
  <c r="AY68" i="1" s="1"/>
  <c r="AY67" i="1" s="1"/>
  <c r="AY66" i="1" s="1"/>
  <c r="AY65" i="1" s="1"/>
  <c r="AY64" i="1" s="1"/>
  <c r="AY63" i="1" s="1"/>
  <c r="AY62" i="1" s="1"/>
  <c r="AY61" i="1" s="1"/>
  <c r="AY60" i="1" s="1"/>
  <c r="AY59" i="1" s="1"/>
  <c r="AY58" i="1" s="1"/>
  <c r="AY57" i="1" s="1"/>
  <c r="AY56" i="1" s="1"/>
  <c r="AY55" i="1" s="1"/>
  <c r="AY54" i="1" s="1"/>
  <c r="AY53" i="1" s="1"/>
  <c r="AY52" i="1" s="1"/>
  <c r="AY51" i="1" s="1"/>
  <c r="AY50" i="1" s="1"/>
  <c r="AY49" i="1" s="1"/>
  <c r="AY48" i="1" s="1"/>
  <c r="AY47" i="1" s="1"/>
  <c r="AY46" i="1" s="1"/>
  <c r="AY45" i="1" s="1"/>
  <c r="AY44" i="1" s="1"/>
  <c r="AY43" i="1" s="1"/>
  <c r="AY42" i="1" s="1"/>
  <c r="AY41" i="1" s="1"/>
  <c r="AY40" i="1" s="1"/>
  <c r="AY39" i="1" s="1"/>
  <c r="AY38" i="1" s="1"/>
  <c r="AY37" i="1" s="1"/>
  <c r="AY36" i="1" s="1"/>
  <c r="AY35" i="1" s="1"/>
  <c r="AY34" i="1" s="1"/>
  <c r="AY33" i="1" s="1"/>
  <c r="AY32" i="1" s="1"/>
  <c r="AY31" i="1" s="1"/>
  <c r="AY30" i="1" s="1"/>
  <c r="AY29" i="1" s="1"/>
  <c r="AY28" i="1" s="1"/>
  <c r="AY27" i="1" s="1"/>
  <c r="AY26" i="1" s="1"/>
  <c r="AY25" i="1" s="1"/>
  <c r="AY24" i="1" s="1"/>
  <c r="AY23" i="1" s="1"/>
  <c r="AY22" i="1" s="1"/>
  <c r="AY21" i="1" s="1"/>
  <c r="AY20" i="1" s="1"/>
  <c r="AY19" i="1" s="1"/>
  <c r="AY18" i="1" s="1"/>
  <c r="AY17" i="1" s="1"/>
  <c r="AY16" i="1" s="1"/>
  <c r="AY15" i="1" s="1"/>
  <c r="AY14" i="1" s="1"/>
  <c r="AY13" i="1" s="1"/>
  <c r="AY12" i="1" s="1"/>
  <c r="AQ89" i="1"/>
  <c r="BH91" i="1"/>
  <c r="BE91" i="1"/>
  <c r="AZ91" i="1"/>
  <c r="AW91" i="1"/>
  <c r="AR91" i="1"/>
  <c r="AO91" i="1"/>
  <c r="F18" i="11"/>
  <c r="I18" i="11" s="1"/>
  <c r="J19" i="11" s="1"/>
  <c r="ET89" i="11"/>
  <c r="ET88" i="11" s="1"/>
  <c r="ET87" i="11" s="1"/>
  <c r="ET86" i="11" s="1"/>
  <c r="ET85" i="11" s="1"/>
  <c r="ET84" i="11" s="1"/>
  <c r="ET83" i="11" s="1"/>
  <c r="ET82" i="11" s="1"/>
  <c r="ET81" i="11" s="1"/>
  <c r="ET80" i="11" s="1"/>
  <c r="ET79" i="11" s="1"/>
  <c r="ET78" i="11" s="1"/>
  <c r="ET77" i="11" s="1"/>
  <c r="ET76" i="11" s="1"/>
  <c r="ET75" i="11" s="1"/>
  <c r="ET74" i="11" s="1"/>
  <c r="ET73" i="11" s="1"/>
  <c r="ET72" i="11" s="1"/>
  <c r="ET71" i="11" s="1"/>
  <c r="ET70" i="11" s="1"/>
  <c r="ET69" i="11" s="1"/>
  <c r="ET68" i="11" s="1"/>
  <c r="ET67" i="11" s="1"/>
  <c r="ET66" i="11" s="1"/>
  <c r="ET65" i="11" s="1"/>
  <c r="ET64" i="11" s="1"/>
  <c r="ET63" i="11" s="1"/>
  <c r="ET62" i="11" s="1"/>
  <c r="ET61" i="11" s="1"/>
  <c r="ET60" i="11" s="1"/>
  <c r="ET59" i="11" s="1"/>
  <c r="ET58" i="11" s="1"/>
  <c r="ET57" i="11" s="1"/>
  <c r="ET56" i="11" s="1"/>
  <c r="ET55" i="11" s="1"/>
  <c r="ET54" i="11" s="1"/>
  <c r="ET53" i="11" s="1"/>
  <c r="ET52" i="11" s="1"/>
  <c r="ET51" i="11" s="1"/>
  <c r="ET50" i="11" s="1"/>
  <c r="ET49" i="11" s="1"/>
  <c r="ET48" i="11" s="1"/>
  <c r="ET47" i="11" s="1"/>
  <c r="ET46" i="11" s="1"/>
  <c r="ET45" i="11" s="1"/>
  <c r="ET44" i="11" s="1"/>
  <c r="ET43" i="11" s="1"/>
  <c r="ET42" i="11" s="1"/>
  <c r="ET41" i="11" s="1"/>
  <c r="ET40" i="11" s="1"/>
  <c r="ET39" i="11" s="1"/>
  <c r="ET38" i="11" s="1"/>
  <c r="ET37" i="11" s="1"/>
  <c r="ET36" i="11" s="1"/>
  <c r="ET35" i="11" s="1"/>
  <c r="ET34" i="11" s="1"/>
  <c r="ET33" i="11" s="1"/>
  <c r="ET32" i="11" s="1"/>
  <c r="ET31" i="11" s="1"/>
  <c r="ET30" i="11" s="1"/>
  <c r="ET29" i="11" s="1"/>
  <c r="ET28" i="11" s="1"/>
  <c r="ET27" i="11" s="1"/>
  <c r="ET26" i="11" s="1"/>
  <c r="ET25" i="11" s="1"/>
  <c r="ET24" i="11" s="1"/>
  <c r="ET23" i="11" s="1"/>
  <c r="ET22" i="11" s="1"/>
  <c r="ET21" i="11" s="1"/>
  <c r="ET20" i="11" s="1"/>
  <c r="ET19" i="11" s="1"/>
  <c r="ET18" i="11" s="1"/>
  <c r="ET17" i="11" s="1"/>
  <c r="ET16" i="11" s="1"/>
  <c r="ET15" i="11" s="1"/>
  <c r="ET14" i="11" s="1"/>
  <c r="EU12" i="11" s="1"/>
  <c r="EZ89" i="11"/>
  <c r="EZ88" i="11" s="1"/>
  <c r="EZ87" i="11" s="1"/>
  <c r="EZ86" i="11" s="1"/>
  <c r="EZ85" i="11" s="1"/>
  <c r="EZ84" i="11" s="1"/>
  <c r="EZ83" i="11" s="1"/>
  <c r="EZ82" i="11" s="1"/>
  <c r="EZ81" i="11" s="1"/>
  <c r="EZ80" i="11" s="1"/>
  <c r="EZ79" i="11" s="1"/>
  <c r="EZ78" i="11" s="1"/>
  <c r="EZ77" i="11" s="1"/>
  <c r="EZ76" i="11" s="1"/>
  <c r="EZ75" i="11" s="1"/>
  <c r="EZ74" i="11" s="1"/>
  <c r="EZ73" i="11" s="1"/>
  <c r="EZ72" i="11" s="1"/>
  <c r="EZ71" i="11" s="1"/>
  <c r="EZ70" i="11" s="1"/>
  <c r="EZ69" i="11" s="1"/>
  <c r="EZ68" i="11" s="1"/>
  <c r="EZ67" i="11" s="1"/>
  <c r="EZ66" i="11" s="1"/>
  <c r="EZ65" i="11" s="1"/>
  <c r="EZ64" i="11" s="1"/>
  <c r="EZ63" i="11" s="1"/>
  <c r="EZ62" i="11" s="1"/>
  <c r="EZ61" i="11" s="1"/>
  <c r="EZ60" i="11" s="1"/>
  <c r="EZ59" i="11" s="1"/>
  <c r="EZ58" i="11" s="1"/>
  <c r="EZ57" i="11" s="1"/>
  <c r="EZ56" i="11" s="1"/>
  <c r="EZ55" i="11" s="1"/>
  <c r="EZ54" i="11" s="1"/>
  <c r="EZ53" i="11" s="1"/>
  <c r="EZ52" i="11" s="1"/>
  <c r="EZ51" i="11" s="1"/>
  <c r="EZ50" i="11" s="1"/>
  <c r="EZ49" i="11" s="1"/>
  <c r="EZ48" i="11" s="1"/>
  <c r="EZ47" i="11" s="1"/>
  <c r="EZ46" i="11" s="1"/>
  <c r="EZ45" i="11" s="1"/>
  <c r="EZ44" i="11" s="1"/>
  <c r="EZ43" i="11" s="1"/>
  <c r="EZ42" i="11" s="1"/>
  <c r="EZ41" i="11" s="1"/>
  <c r="EZ40" i="11" s="1"/>
  <c r="EZ39" i="11" s="1"/>
  <c r="EZ38" i="11" s="1"/>
  <c r="EZ37" i="11" s="1"/>
  <c r="EZ36" i="11" s="1"/>
  <c r="EZ35" i="11" s="1"/>
  <c r="EZ34" i="11" s="1"/>
  <c r="EZ33" i="11" s="1"/>
  <c r="EZ32" i="11" s="1"/>
  <c r="EZ31" i="11" s="1"/>
  <c r="EZ30" i="11" s="1"/>
  <c r="EZ29" i="11" s="1"/>
  <c r="EZ28" i="11" s="1"/>
  <c r="EZ27" i="11" s="1"/>
  <c r="EZ26" i="11" s="1"/>
  <c r="EZ25" i="11" s="1"/>
  <c r="EZ24" i="11" s="1"/>
  <c r="EZ23" i="11" s="1"/>
  <c r="EZ22" i="11" s="1"/>
  <c r="EZ21" i="11" s="1"/>
  <c r="EZ20" i="11" s="1"/>
  <c r="EZ19" i="11" s="1"/>
  <c r="EZ18" i="11" s="1"/>
  <c r="EZ17" i="11" s="1"/>
  <c r="EZ16" i="11" s="1"/>
  <c r="EZ15" i="11" s="1"/>
  <c r="EZ14" i="11" s="1"/>
  <c r="FA12" i="11" s="1"/>
  <c r="F15" i="11" l="1"/>
  <c r="I15" i="11" s="1"/>
  <c r="FA38" i="11"/>
  <c r="EU24" i="11"/>
  <c r="EU56" i="11"/>
  <c r="EU72" i="11"/>
  <c r="FA13" i="11"/>
  <c r="FA21" i="11"/>
  <c r="FA29" i="11"/>
  <c r="FA37" i="11"/>
  <c r="FA45" i="11"/>
  <c r="FA53" i="11"/>
  <c r="FA61" i="11"/>
  <c r="FA69" i="11"/>
  <c r="FA77" i="11"/>
  <c r="FA85" i="11"/>
  <c r="EU15" i="11"/>
  <c r="EU23" i="11"/>
  <c r="EU31" i="11"/>
  <c r="EU39" i="11"/>
  <c r="EU47" i="11"/>
  <c r="EU55" i="11"/>
  <c r="EU63" i="11"/>
  <c r="EU71" i="11"/>
  <c r="EU79" i="11"/>
  <c r="EU87" i="11"/>
  <c r="FA14" i="11"/>
  <c r="FA54" i="11"/>
  <c r="FA78" i="11"/>
  <c r="EU40" i="11"/>
  <c r="FA15" i="11"/>
  <c r="FA23" i="11"/>
  <c r="FA31" i="11"/>
  <c r="FA39" i="11"/>
  <c r="FA47" i="11"/>
  <c r="FA55" i="11"/>
  <c r="FA63" i="11"/>
  <c r="FA71" i="11"/>
  <c r="FA79" i="11"/>
  <c r="FA87" i="11"/>
  <c r="EU17" i="11"/>
  <c r="EU25" i="11"/>
  <c r="EU33" i="11"/>
  <c r="EU41" i="11"/>
  <c r="EU49" i="11"/>
  <c r="EU57" i="11"/>
  <c r="EU65" i="11"/>
  <c r="EU73" i="11"/>
  <c r="EU81" i="11"/>
  <c r="EU89" i="11"/>
  <c r="FA30" i="11"/>
  <c r="FA70" i="11"/>
  <c r="EU16" i="11"/>
  <c r="EU48" i="11"/>
  <c r="EU88" i="11"/>
  <c r="FA16" i="11"/>
  <c r="FA24" i="11"/>
  <c r="FA32" i="11"/>
  <c r="FA40" i="11"/>
  <c r="FA48" i="11"/>
  <c r="FA56" i="11"/>
  <c r="FA64" i="11"/>
  <c r="FA72" i="11"/>
  <c r="FA80" i="11"/>
  <c r="FA88" i="11"/>
  <c r="EU18" i="11"/>
  <c r="EU26" i="11"/>
  <c r="EU34" i="11"/>
  <c r="EU42" i="11"/>
  <c r="EU50" i="11"/>
  <c r="EU58" i="11"/>
  <c r="EU66" i="11"/>
  <c r="EU74" i="11"/>
  <c r="EU82" i="11"/>
  <c r="FA46" i="11"/>
  <c r="FA86" i="11"/>
  <c r="EU80" i="11"/>
  <c r="FA17" i="11"/>
  <c r="FA25" i="11"/>
  <c r="FA33" i="11"/>
  <c r="FA41" i="11"/>
  <c r="FA49" i="11"/>
  <c r="FA57" i="11"/>
  <c r="FA65" i="11"/>
  <c r="FA73" i="11"/>
  <c r="FA81" i="11"/>
  <c r="FA89" i="11"/>
  <c r="EU19" i="11"/>
  <c r="EU27" i="11"/>
  <c r="EU35" i="11"/>
  <c r="EU43" i="11"/>
  <c r="EU51" i="11"/>
  <c r="EU59" i="11"/>
  <c r="EU67" i="11"/>
  <c r="EU75" i="11"/>
  <c r="EU83" i="11"/>
  <c r="FA18" i="11"/>
  <c r="FA26" i="11"/>
  <c r="FA34" i="11"/>
  <c r="FA42" i="11"/>
  <c r="FA50" i="11"/>
  <c r="FA58" i="11"/>
  <c r="FA66" i="11"/>
  <c r="FA74" i="11"/>
  <c r="FA82" i="11"/>
  <c r="EU20" i="11"/>
  <c r="EU28" i="11"/>
  <c r="EU36" i="11"/>
  <c r="EU44" i="11"/>
  <c r="EU52" i="11"/>
  <c r="EU60" i="11"/>
  <c r="EU68" i="11"/>
  <c r="EU76" i="11"/>
  <c r="EU84" i="11"/>
  <c r="FA19" i="11"/>
  <c r="FA27" i="11"/>
  <c r="FA35" i="11"/>
  <c r="FA43" i="11"/>
  <c r="FA51" i="11"/>
  <c r="FA59" i="11"/>
  <c r="FA67" i="11"/>
  <c r="FA75" i="11"/>
  <c r="FA83" i="11"/>
  <c r="EU13" i="11"/>
  <c r="EU21" i="11"/>
  <c r="EU29" i="11"/>
  <c r="EU37" i="11"/>
  <c r="EU45" i="11"/>
  <c r="EU53" i="11"/>
  <c r="EU61" i="11"/>
  <c r="EU69" i="11"/>
  <c r="EU77" i="11"/>
  <c r="EU85" i="11"/>
  <c r="FA22" i="11"/>
  <c r="FA62" i="11"/>
  <c r="EU32" i="11"/>
  <c r="EU64" i="11"/>
  <c r="FA20" i="11"/>
  <c r="FA28" i="11"/>
  <c r="FA36" i="11"/>
  <c r="FA44" i="11"/>
  <c r="FA52" i="11"/>
  <c r="FA60" i="11"/>
  <c r="FA68" i="11"/>
  <c r="FA76" i="11"/>
  <c r="FA84" i="11"/>
  <c r="EU14" i="11"/>
  <c r="EU22" i="11"/>
  <c r="EU30" i="11"/>
  <c r="EU38" i="11"/>
  <c r="EU46" i="11"/>
  <c r="EU54" i="11"/>
  <c r="EU62" i="11"/>
  <c r="EU70" i="11"/>
  <c r="EU78" i="11"/>
  <c r="EU86" i="11"/>
  <c r="AQ88" i="1"/>
  <c r="AT89" i="1"/>
  <c r="BB89" i="1"/>
  <c r="BG23" i="1"/>
  <c r="BG22" i="1" s="1"/>
  <c r="BG21" i="1" s="1"/>
  <c r="BG20" i="1" s="1"/>
  <c r="BG19" i="1" s="1"/>
  <c r="BG18" i="1" s="1"/>
  <c r="BG17" i="1" s="1"/>
  <c r="BG16" i="1" s="1"/>
  <c r="BG15" i="1" s="1"/>
  <c r="BG14" i="1" s="1"/>
  <c r="BG13" i="1" s="1"/>
  <c r="BG12" i="1" s="1"/>
  <c r="BJ89" i="1"/>
  <c r="BJ87" i="1"/>
  <c r="BJ88" i="1"/>
  <c r="BB87" i="1"/>
  <c r="BB88" i="1"/>
  <c r="AQ87" i="1" l="1"/>
  <c r="F14" i="11"/>
  <c r="I14" i="11" s="1"/>
  <c r="J15" i="11" s="1"/>
  <c r="AT88" i="1"/>
  <c r="AQ86" i="1"/>
  <c r="BJ86" i="1"/>
  <c r="BB86" i="1"/>
  <c r="AT86" i="1" l="1"/>
  <c r="AT87" i="1"/>
  <c r="F12" i="11"/>
  <c r="F13" i="11"/>
  <c r="I13" i="11" s="1"/>
  <c r="AQ85" i="1"/>
  <c r="BJ85" i="1"/>
  <c r="BB85" i="1"/>
  <c r="AT85" i="1" l="1"/>
  <c r="AQ84" i="1"/>
  <c r="BJ84" i="1"/>
  <c r="BB84" i="1"/>
  <c r="AT84" i="1"/>
  <c r="AQ83" i="1" l="1"/>
  <c r="BJ83" i="1"/>
  <c r="BB83" i="1"/>
  <c r="AT83" i="1"/>
  <c r="AQ82" i="1" l="1"/>
  <c r="BJ82" i="1"/>
  <c r="BB82" i="1"/>
  <c r="AT82" i="1"/>
  <c r="AQ81" i="1" l="1"/>
  <c r="BJ81" i="1"/>
  <c r="BB81" i="1"/>
  <c r="AT81" i="1" l="1"/>
  <c r="AQ80" i="1"/>
  <c r="BJ80" i="1"/>
  <c r="BB80" i="1"/>
  <c r="AT80" i="1" l="1"/>
  <c r="AQ79" i="1"/>
  <c r="BJ79" i="1"/>
  <c r="BB79" i="1"/>
  <c r="AT79" i="1" l="1"/>
  <c r="AQ78" i="1"/>
  <c r="BJ78" i="1"/>
  <c r="BB78" i="1"/>
  <c r="AT78" i="1" l="1"/>
  <c r="AQ77" i="1"/>
  <c r="BJ77" i="1"/>
  <c r="BB77" i="1"/>
  <c r="AT77" i="1" l="1"/>
  <c r="AQ76" i="1"/>
  <c r="BJ76" i="1"/>
  <c r="BB76" i="1"/>
  <c r="AT76" i="1"/>
  <c r="AQ75" i="1" l="1"/>
  <c r="BJ75" i="1"/>
  <c r="BB75" i="1"/>
  <c r="AT75" i="1"/>
  <c r="AQ74" i="1" l="1"/>
  <c r="BJ74" i="1"/>
  <c r="BB74" i="1"/>
  <c r="AT74" i="1"/>
  <c r="AQ73" i="1" l="1"/>
  <c r="BJ73" i="1"/>
  <c r="BB73" i="1"/>
  <c r="AT73" i="1"/>
  <c r="AQ72" i="1" l="1"/>
  <c r="BJ72" i="1"/>
  <c r="BB72" i="1"/>
  <c r="AT72" i="1"/>
  <c r="AQ71" i="1" l="1"/>
  <c r="BJ71" i="1"/>
  <c r="BB71" i="1"/>
  <c r="AT71" i="1"/>
  <c r="AQ70" i="1" l="1"/>
  <c r="BJ70" i="1"/>
  <c r="BB70" i="1"/>
  <c r="AT70" i="1"/>
  <c r="AQ69" i="1" l="1"/>
  <c r="BJ69" i="1"/>
  <c r="BB69" i="1"/>
  <c r="AT69" i="1"/>
  <c r="AQ68" i="1" l="1"/>
  <c r="BJ68" i="1"/>
  <c r="BB68" i="1"/>
  <c r="AT68" i="1"/>
  <c r="AQ67" i="1" l="1"/>
  <c r="BJ67" i="1"/>
  <c r="BB67" i="1"/>
  <c r="AT67" i="1"/>
  <c r="AQ66" i="1" l="1"/>
  <c r="BJ66" i="1"/>
  <c r="BB66" i="1"/>
  <c r="AT66" i="1"/>
  <c r="AQ65" i="1" l="1"/>
  <c r="BJ65" i="1"/>
  <c r="BB65" i="1"/>
  <c r="AT65" i="1"/>
  <c r="AQ64" i="1" l="1"/>
  <c r="BJ64" i="1"/>
  <c r="BB64" i="1"/>
  <c r="AT64" i="1"/>
  <c r="AQ63" i="1" l="1"/>
  <c r="BJ63" i="1"/>
  <c r="BB63" i="1"/>
  <c r="AT63" i="1"/>
  <c r="AQ62" i="1" l="1"/>
  <c r="BJ62" i="1"/>
  <c r="BB62" i="1"/>
  <c r="AT62" i="1"/>
  <c r="AQ61" i="1" l="1"/>
  <c r="BJ61" i="1"/>
  <c r="BB61" i="1"/>
  <c r="AT61" i="1"/>
  <c r="AQ60" i="1" l="1"/>
  <c r="BJ60" i="1"/>
  <c r="BB60" i="1"/>
  <c r="AT60" i="1"/>
  <c r="AQ59" i="1" l="1"/>
  <c r="BJ59" i="1"/>
  <c r="BB59" i="1"/>
  <c r="AT59" i="1" l="1"/>
  <c r="AQ58" i="1"/>
  <c r="BJ58" i="1"/>
  <c r="BB58" i="1"/>
  <c r="AT58" i="1"/>
  <c r="AQ57" i="1" l="1"/>
  <c r="BJ57" i="1"/>
  <c r="BB57" i="1"/>
  <c r="AT57" i="1"/>
  <c r="AQ56" i="1" l="1"/>
  <c r="BJ56" i="1"/>
  <c r="BB56" i="1"/>
  <c r="AT56" i="1"/>
  <c r="AQ55" i="1" l="1"/>
  <c r="BJ55" i="1"/>
  <c r="BB55" i="1"/>
  <c r="AT55" i="1"/>
  <c r="AQ54" i="1" l="1"/>
  <c r="BJ54" i="1"/>
  <c r="BB54" i="1"/>
  <c r="AT54" i="1"/>
  <c r="AQ53" i="1" l="1"/>
  <c r="BJ53" i="1"/>
  <c r="BB53" i="1"/>
  <c r="AT53" i="1"/>
  <c r="AQ52" i="1" l="1"/>
  <c r="BJ52" i="1"/>
  <c r="BB52" i="1"/>
  <c r="AT52" i="1"/>
  <c r="AQ51" i="1" l="1"/>
  <c r="BJ51" i="1"/>
  <c r="BB51" i="1"/>
  <c r="AT51" i="1"/>
  <c r="AQ50" i="1" l="1"/>
  <c r="AS91" i="1"/>
  <c r="BJ50" i="1"/>
  <c r="BB50" i="1"/>
  <c r="AT50" i="1"/>
  <c r="AQ49" i="1" l="1"/>
  <c r="BJ49" i="1"/>
  <c r="BB49" i="1"/>
  <c r="AT49" i="1"/>
  <c r="AQ48" i="1" l="1"/>
  <c r="AT48" i="1" s="1"/>
  <c r="BJ48" i="1"/>
  <c r="BB48" i="1"/>
  <c r="AQ47" i="1" l="1"/>
  <c r="BJ47" i="1"/>
  <c r="BB47" i="1"/>
  <c r="AT47" i="1"/>
  <c r="AQ46" i="1" l="1"/>
  <c r="BJ46" i="1"/>
  <c r="BB46" i="1"/>
  <c r="AT46" i="1"/>
  <c r="AQ45" i="1" l="1"/>
  <c r="BJ45" i="1"/>
  <c r="BB45" i="1"/>
  <c r="AT45" i="1"/>
  <c r="AQ44" i="1" l="1"/>
  <c r="BJ44" i="1"/>
  <c r="BB44" i="1"/>
  <c r="AT44" i="1"/>
  <c r="AQ43" i="1" l="1"/>
  <c r="BJ43" i="1"/>
  <c r="BB43" i="1"/>
  <c r="AT43" i="1"/>
  <c r="AQ42" i="1" l="1"/>
  <c r="BJ42" i="1"/>
  <c r="BB42" i="1"/>
  <c r="AT42" i="1"/>
  <c r="AQ41" i="1" l="1"/>
  <c r="AT41" i="1" s="1"/>
  <c r="BJ41" i="1"/>
  <c r="BB41" i="1"/>
  <c r="AQ40" i="1" l="1"/>
  <c r="AT40" i="1" s="1"/>
  <c r="BJ40" i="1"/>
  <c r="BB40" i="1"/>
  <c r="AQ39" i="1" l="1"/>
  <c r="AT39" i="1" s="1"/>
  <c r="BJ39" i="1"/>
  <c r="BB39" i="1"/>
  <c r="AQ38" i="1" l="1"/>
  <c r="BJ38" i="1"/>
  <c r="BB38" i="1"/>
  <c r="AT38" i="1"/>
  <c r="AQ37" i="1" l="1"/>
  <c r="BJ37" i="1"/>
  <c r="BB37" i="1"/>
  <c r="AT37" i="1"/>
  <c r="AQ36" i="1" l="1"/>
  <c r="BJ36" i="1"/>
  <c r="BB36" i="1"/>
  <c r="AT36" i="1"/>
  <c r="AQ35" i="1" l="1"/>
  <c r="BJ35" i="1"/>
  <c r="BB35" i="1"/>
  <c r="AT35" i="1"/>
  <c r="AQ34" i="1" l="1"/>
  <c r="AT34" i="1" s="1"/>
  <c r="BJ34" i="1"/>
  <c r="BB34" i="1"/>
  <c r="AQ33" i="1" l="1"/>
  <c r="BJ33" i="1"/>
  <c r="BB33" i="1"/>
  <c r="AT33" i="1"/>
  <c r="AQ32" i="1" l="1"/>
  <c r="AT32" i="1" s="1"/>
  <c r="BJ32" i="1"/>
  <c r="BB32" i="1"/>
  <c r="AQ31" i="1" l="1"/>
  <c r="BJ31" i="1"/>
  <c r="BB31" i="1"/>
  <c r="AT31" i="1"/>
  <c r="AQ30" i="1" l="1"/>
  <c r="BJ30" i="1"/>
  <c r="BB30" i="1"/>
  <c r="AT30" i="1"/>
  <c r="AQ29" i="1" l="1"/>
  <c r="BJ29" i="1"/>
  <c r="BB29" i="1"/>
  <c r="AT29" i="1"/>
  <c r="AQ28" i="1" l="1"/>
  <c r="AT28" i="1" s="1"/>
  <c r="BJ28" i="1"/>
  <c r="BB28" i="1"/>
  <c r="AQ27" i="1" l="1"/>
  <c r="AT27" i="1" s="1"/>
  <c r="BJ27" i="1"/>
  <c r="BB27" i="1"/>
  <c r="AQ26" i="1" l="1"/>
  <c r="BJ26" i="1"/>
  <c r="BB26" i="1"/>
  <c r="AT26" i="1"/>
  <c r="AQ25" i="1" l="1"/>
  <c r="BJ25" i="1"/>
  <c r="BB25" i="1"/>
  <c r="AT25" i="1"/>
  <c r="AQ24" i="1" l="1"/>
  <c r="BJ24" i="1"/>
  <c r="BB24" i="1"/>
  <c r="AT24" i="1"/>
  <c r="AQ23" i="1" l="1"/>
  <c r="AT23" i="1" s="1"/>
  <c r="BJ23" i="1"/>
  <c r="BB23" i="1"/>
  <c r="AQ22" i="1" l="1"/>
  <c r="AT22" i="1" s="1"/>
  <c r="BJ22" i="1"/>
  <c r="BB22" i="1"/>
  <c r="AQ21" i="1" l="1"/>
  <c r="AT21" i="1" s="1"/>
  <c r="BJ21" i="1"/>
  <c r="BB21" i="1"/>
  <c r="AQ20" i="1" l="1"/>
  <c r="AT20" i="1" s="1"/>
  <c r="BJ20" i="1"/>
  <c r="BB20" i="1"/>
  <c r="AQ19" i="1" l="1"/>
  <c r="BJ19" i="1"/>
  <c r="BB19" i="1"/>
  <c r="AT19" i="1"/>
  <c r="AQ18" i="1" l="1"/>
  <c r="BJ18" i="1"/>
  <c r="BB18" i="1"/>
  <c r="AT18" i="1"/>
  <c r="AQ17" i="1" l="1"/>
  <c r="AT17" i="1" s="1"/>
  <c r="BJ17" i="1"/>
  <c r="BB17" i="1"/>
  <c r="AQ16" i="1" l="1"/>
  <c r="AT16" i="1" s="1"/>
  <c r="BJ16" i="1"/>
  <c r="BB16" i="1"/>
  <c r="AQ15" i="1" l="1"/>
  <c r="BJ15" i="1"/>
  <c r="BB15" i="1"/>
  <c r="AT15" i="1"/>
  <c r="AQ14" i="1" l="1"/>
  <c r="BJ14" i="1"/>
  <c r="BB14" i="1"/>
  <c r="AT14" i="1"/>
  <c r="AQ13" i="1" l="1"/>
  <c r="BJ13" i="1"/>
  <c r="BB13" i="1"/>
  <c r="AT13" i="1"/>
  <c r="AQ12" i="1" l="1"/>
  <c r="BJ12" i="1"/>
  <c r="BB12" i="1"/>
  <c r="AT12" i="1"/>
  <c r="BJ91" i="1" l="1"/>
  <c r="BG91" i="1"/>
  <c r="AY91" i="1"/>
  <c r="BA91" i="1" l="1"/>
  <c r="BI91" i="1"/>
  <c r="BB91" i="1"/>
  <c r="AT91" i="1" l="1"/>
  <c r="AQ91" i="1"/>
  <c r="AY91" i="11" l="1"/>
  <c r="AX91" i="11"/>
  <c r="AU91" i="11"/>
  <c r="AS91" i="11"/>
  <c r="AW89" i="11"/>
  <c r="AW88" i="11" s="1"/>
  <c r="AZ88" i="11" l="1"/>
  <c r="AW87" i="11"/>
  <c r="AZ89" i="11"/>
  <c r="A76" i="9"/>
  <c r="AW86" i="11" l="1"/>
  <c r="AZ87" i="11"/>
  <c r="AZ86" i="11" l="1"/>
  <c r="AW85" i="11"/>
  <c r="AW84" i="11" l="1"/>
  <c r="AZ85" i="11"/>
  <c r="AZ84" i="11" l="1"/>
  <c r="AW83" i="11"/>
  <c r="AW82" i="11" l="1"/>
  <c r="AZ83" i="11"/>
  <c r="AZ82" i="11" l="1"/>
  <c r="AW81" i="11"/>
  <c r="AW80" i="11" l="1"/>
  <c r="AZ81" i="11"/>
  <c r="A47" i="9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BS91" i="1"/>
  <c r="BR91" i="1"/>
  <c r="BO91" i="1"/>
  <c r="BM91" i="1"/>
  <c r="BQ89" i="1"/>
  <c r="DO89" i="11"/>
  <c r="DO88" i="11"/>
  <c r="DO87" i="11"/>
  <c r="DO86" i="11"/>
  <c r="DO85" i="11"/>
  <c r="DO84" i="11"/>
  <c r="DO83" i="11"/>
  <c r="DO82" i="11"/>
  <c r="DO81" i="11"/>
  <c r="DO80" i="11"/>
  <c r="DO79" i="11"/>
  <c r="DO78" i="11"/>
  <c r="DO77" i="11"/>
  <c r="DO76" i="11"/>
  <c r="DO75" i="11"/>
  <c r="DO74" i="11"/>
  <c r="DO73" i="11"/>
  <c r="DO72" i="11"/>
  <c r="DO71" i="11"/>
  <c r="DO70" i="11"/>
  <c r="DM69" i="11"/>
  <c r="DM68" i="11" s="1"/>
  <c r="DK91" i="11"/>
  <c r="DI91" i="11"/>
  <c r="DG91" i="11"/>
  <c r="AZ80" i="11" l="1"/>
  <c r="AW79" i="11"/>
  <c r="DM67" i="11"/>
  <c r="DO68" i="11"/>
  <c r="DO69" i="11"/>
  <c r="BQ88" i="1"/>
  <c r="BT89" i="1"/>
  <c r="J89" i="1" l="1"/>
  <c r="BQ87" i="1"/>
  <c r="AW78" i="11"/>
  <c r="AZ79" i="11"/>
  <c r="DO67" i="11"/>
  <c r="DM66" i="11"/>
  <c r="BT88" i="1"/>
  <c r="BQ86" i="1"/>
  <c r="J87" i="1" l="1"/>
  <c r="BT87" i="1"/>
  <c r="AZ78" i="11"/>
  <c r="AW77" i="11"/>
  <c r="DO66" i="11"/>
  <c r="DM65" i="11"/>
  <c r="BT86" i="1"/>
  <c r="BQ85" i="1"/>
  <c r="AW76" i="11" l="1"/>
  <c r="AZ77" i="11"/>
  <c r="DM64" i="11"/>
  <c r="DO65" i="11"/>
  <c r="BT85" i="1"/>
  <c r="BQ84" i="1"/>
  <c r="J85" i="1" l="1"/>
  <c r="AZ76" i="11"/>
  <c r="AW75" i="11"/>
  <c r="DO64" i="11"/>
  <c r="DM63" i="11"/>
  <c r="BT84" i="1"/>
  <c r="BQ83" i="1"/>
  <c r="AW74" i="11" l="1"/>
  <c r="AZ75" i="11"/>
  <c r="DO63" i="11"/>
  <c r="DM62" i="11"/>
  <c r="BT83" i="1"/>
  <c r="BQ82" i="1"/>
  <c r="AZ74" i="11" l="1"/>
  <c r="AW73" i="11"/>
  <c r="DO62" i="11"/>
  <c r="DM61" i="11"/>
  <c r="BT82" i="1"/>
  <c r="BQ81" i="1"/>
  <c r="AW72" i="11" l="1"/>
  <c r="AZ73" i="11"/>
  <c r="DM60" i="11"/>
  <c r="DO61" i="11"/>
  <c r="BT81" i="1"/>
  <c r="BQ80" i="1"/>
  <c r="AZ72" i="11" l="1"/>
  <c r="AW71" i="11"/>
  <c r="DM59" i="11"/>
  <c r="DO60" i="11"/>
  <c r="BT80" i="1"/>
  <c r="BQ79" i="1"/>
  <c r="AW70" i="11" l="1"/>
  <c r="AZ71" i="11"/>
  <c r="DM58" i="11"/>
  <c r="DO59" i="11"/>
  <c r="BT79" i="1"/>
  <c r="BQ78" i="1"/>
  <c r="AZ70" i="11" l="1"/>
  <c r="AW69" i="11"/>
  <c r="DM57" i="11"/>
  <c r="DO58" i="11"/>
  <c r="BT78" i="1"/>
  <c r="BQ77" i="1"/>
  <c r="AW68" i="11" l="1"/>
  <c r="AZ69" i="11"/>
  <c r="DM56" i="11"/>
  <c r="DO57" i="11"/>
  <c r="BT77" i="1"/>
  <c r="BQ76" i="1"/>
  <c r="AZ68" i="11" l="1"/>
  <c r="AW67" i="11"/>
  <c r="DM55" i="11"/>
  <c r="DO56" i="11"/>
  <c r="BT76" i="1"/>
  <c r="BQ75" i="1"/>
  <c r="AW66" i="11" l="1"/>
  <c r="AZ67" i="11"/>
  <c r="DM54" i="11"/>
  <c r="DO55" i="11"/>
  <c r="BT75" i="1"/>
  <c r="BQ74" i="1"/>
  <c r="AZ66" i="11" l="1"/>
  <c r="AW65" i="11"/>
  <c r="DM53" i="11"/>
  <c r="DO54" i="11"/>
  <c r="BT74" i="1"/>
  <c r="BQ73" i="1"/>
  <c r="AW64" i="11" l="1"/>
  <c r="AZ65" i="11"/>
  <c r="DM52" i="11"/>
  <c r="DO53" i="11"/>
  <c r="BT73" i="1"/>
  <c r="BQ72" i="1"/>
  <c r="AZ64" i="11" l="1"/>
  <c r="AW63" i="11"/>
  <c r="DM51" i="11"/>
  <c r="DO52" i="11"/>
  <c r="BT72" i="1"/>
  <c r="BQ71" i="1"/>
  <c r="AW62" i="11" l="1"/>
  <c r="AZ63" i="11"/>
  <c r="DM50" i="11"/>
  <c r="DO51" i="11"/>
  <c r="BT71" i="1"/>
  <c r="BQ70" i="1"/>
  <c r="AZ62" i="11" l="1"/>
  <c r="AW61" i="11"/>
  <c r="DM49" i="11"/>
  <c r="DO50" i="11"/>
  <c r="BT70" i="1"/>
  <c r="BQ69" i="1"/>
  <c r="AW60" i="11" l="1"/>
  <c r="AZ61" i="11"/>
  <c r="DM48" i="11"/>
  <c r="DO49" i="11"/>
  <c r="BT69" i="1"/>
  <c r="BQ68" i="1"/>
  <c r="AZ60" i="11" l="1"/>
  <c r="AW59" i="11"/>
  <c r="DM47" i="11"/>
  <c r="DO48" i="11"/>
  <c r="BT68" i="1"/>
  <c r="M67" i="9"/>
  <c r="BQ67" i="1"/>
  <c r="AW58" i="11" l="1"/>
  <c r="AZ59" i="11"/>
  <c r="DM46" i="11"/>
  <c r="DO47" i="11"/>
  <c r="BT67" i="1"/>
  <c r="M66" i="9"/>
  <c r="BQ66" i="1"/>
  <c r="AZ58" i="11" l="1"/>
  <c r="AW57" i="11"/>
  <c r="DM45" i="11"/>
  <c r="DO46" i="11"/>
  <c r="BT66" i="1"/>
  <c r="M65" i="9"/>
  <c r="BQ65" i="1"/>
  <c r="AW56" i="11" l="1"/>
  <c r="AZ57" i="11"/>
  <c r="DM44" i="11"/>
  <c r="DO45" i="11"/>
  <c r="BT65" i="1"/>
  <c r="M64" i="9"/>
  <c r="BQ64" i="1"/>
  <c r="AZ56" i="11" l="1"/>
  <c r="AW55" i="11"/>
  <c r="DM43" i="11"/>
  <c r="DO44" i="11"/>
  <c r="BT64" i="1"/>
  <c r="M63" i="9"/>
  <c r="BQ63" i="1"/>
  <c r="AW54" i="11" l="1"/>
  <c r="AZ55" i="11"/>
  <c r="DM42" i="11"/>
  <c r="DO43" i="11"/>
  <c r="BT63" i="1"/>
  <c r="M62" i="9"/>
  <c r="BQ62" i="1"/>
  <c r="AZ54" i="11" l="1"/>
  <c r="AW53" i="11"/>
  <c r="DM41" i="11"/>
  <c r="DO42" i="11"/>
  <c r="BT62" i="1"/>
  <c r="M61" i="9"/>
  <c r="BQ61" i="1"/>
  <c r="AW52" i="11" l="1"/>
  <c r="AZ53" i="11"/>
  <c r="DM40" i="11"/>
  <c r="DO41" i="11"/>
  <c r="BT61" i="1"/>
  <c r="M60" i="9"/>
  <c r="BQ60" i="1"/>
  <c r="AZ52" i="11" l="1"/>
  <c r="AW51" i="11"/>
  <c r="DM39" i="11"/>
  <c r="DO40" i="11"/>
  <c r="BT60" i="1"/>
  <c r="M59" i="9"/>
  <c r="BQ59" i="1"/>
  <c r="AW50" i="11" l="1"/>
  <c r="AZ51" i="11"/>
  <c r="DM38" i="11"/>
  <c r="DO39" i="11"/>
  <c r="M58" i="9"/>
  <c r="BT59" i="1"/>
  <c r="BQ58" i="1"/>
  <c r="AZ50" i="11" l="1"/>
  <c r="AW49" i="11"/>
  <c r="DM37" i="11"/>
  <c r="DO38" i="11"/>
  <c r="BT58" i="1"/>
  <c r="M57" i="9"/>
  <c r="BQ57" i="1"/>
  <c r="AW48" i="11" l="1"/>
  <c r="AZ49" i="11"/>
  <c r="DM36" i="11"/>
  <c r="DO37" i="11"/>
  <c r="BT57" i="1"/>
  <c r="M56" i="9"/>
  <c r="BQ56" i="1"/>
  <c r="AZ48" i="11" l="1"/>
  <c r="AW47" i="11"/>
  <c r="DM35" i="11"/>
  <c r="DO36" i="11"/>
  <c r="BT56" i="1"/>
  <c r="M55" i="9"/>
  <c r="BQ55" i="1"/>
  <c r="AW46" i="11" l="1"/>
  <c r="AZ47" i="11"/>
  <c r="DM34" i="11"/>
  <c r="DO35" i="11"/>
  <c r="BT55" i="1"/>
  <c r="M54" i="9"/>
  <c r="BQ54" i="1"/>
  <c r="AZ46" i="11" l="1"/>
  <c r="AW45" i="11"/>
  <c r="DM33" i="11"/>
  <c r="DO34" i="11"/>
  <c r="BT54" i="1"/>
  <c r="M53" i="9"/>
  <c r="BQ53" i="1"/>
  <c r="AW44" i="11" l="1"/>
  <c r="AZ45" i="11"/>
  <c r="DM32" i="11"/>
  <c r="DO33" i="11"/>
  <c r="BT53" i="1"/>
  <c r="M52" i="9"/>
  <c r="BQ52" i="1"/>
  <c r="AZ44" i="11" l="1"/>
  <c r="AW43" i="11"/>
  <c r="DM31" i="11"/>
  <c r="DO32" i="11"/>
  <c r="BT52" i="1"/>
  <c r="M51" i="9"/>
  <c r="BQ51" i="1"/>
  <c r="AW42" i="11" l="1"/>
  <c r="AZ43" i="11"/>
  <c r="DM30" i="11"/>
  <c r="DO31" i="11"/>
  <c r="BT51" i="1"/>
  <c r="M50" i="9"/>
  <c r="BQ50" i="1"/>
  <c r="AZ42" i="11" l="1"/>
  <c r="AW41" i="11"/>
  <c r="DM29" i="11"/>
  <c r="DO30" i="11"/>
  <c r="BT50" i="1"/>
  <c r="M49" i="9"/>
  <c r="BQ49" i="1"/>
  <c r="AW40" i="11" l="1"/>
  <c r="AZ41" i="11"/>
  <c r="DM28" i="11"/>
  <c r="DO29" i="11"/>
  <c r="BT49" i="1"/>
  <c r="M48" i="9"/>
  <c r="BQ48" i="1"/>
  <c r="AZ40" i="11" l="1"/>
  <c r="AW39" i="11"/>
  <c r="DM27" i="11"/>
  <c r="DO28" i="11"/>
  <c r="BT48" i="1"/>
  <c r="M47" i="9"/>
  <c r="BQ47" i="1"/>
  <c r="AW38" i="11" l="1"/>
  <c r="AZ39" i="11"/>
  <c r="DM26" i="11"/>
  <c r="DO27" i="11"/>
  <c r="BT47" i="1"/>
  <c r="M46" i="9"/>
  <c r="BQ46" i="1"/>
  <c r="AZ38" i="11" l="1"/>
  <c r="AW37" i="11"/>
  <c r="DM25" i="11"/>
  <c r="DO26" i="11"/>
  <c r="BT46" i="1"/>
  <c r="M45" i="9"/>
  <c r="BQ45" i="1"/>
  <c r="AW36" i="11" l="1"/>
  <c r="AZ37" i="11"/>
  <c r="DM24" i="11"/>
  <c r="DO25" i="11"/>
  <c r="BT45" i="1"/>
  <c r="M44" i="9"/>
  <c r="BQ44" i="1"/>
  <c r="AZ36" i="11" l="1"/>
  <c r="AW35" i="11"/>
  <c r="DM23" i="11"/>
  <c r="DO24" i="11"/>
  <c r="BT44" i="1"/>
  <c r="M43" i="9"/>
  <c r="BQ43" i="1"/>
  <c r="AW34" i="11" l="1"/>
  <c r="AZ35" i="11"/>
  <c r="DM22" i="11"/>
  <c r="DO23" i="11"/>
  <c r="BT43" i="1"/>
  <c r="BQ42" i="1"/>
  <c r="AZ34" i="11" l="1"/>
  <c r="AW33" i="11"/>
  <c r="DM21" i="11"/>
  <c r="DO22" i="11"/>
  <c r="BT42" i="1"/>
  <c r="BQ41" i="1"/>
  <c r="AW32" i="11" l="1"/>
  <c r="AZ33" i="11"/>
  <c r="DM20" i="11"/>
  <c r="DO21" i="11"/>
  <c r="BT41" i="1"/>
  <c r="BQ40" i="1"/>
  <c r="AZ32" i="11" l="1"/>
  <c r="AW31" i="11"/>
  <c r="DM19" i="11"/>
  <c r="DO20" i="11"/>
  <c r="BT40" i="1"/>
  <c r="BQ39" i="1"/>
  <c r="AW30" i="11" l="1"/>
  <c r="AZ31" i="11"/>
  <c r="DM18" i="11"/>
  <c r="DO19" i="11"/>
  <c r="BT39" i="1"/>
  <c r="BQ38" i="1"/>
  <c r="AZ30" i="11" l="1"/>
  <c r="AW29" i="11"/>
  <c r="DM17" i="11"/>
  <c r="DO18" i="11"/>
  <c r="BT38" i="1"/>
  <c r="BQ37" i="1"/>
  <c r="AW28" i="11" l="1"/>
  <c r="AZ29" i="11"/>
  <c r="DM16" i="11"/>
  <c r="DO17" i="11"/>
  <c r="BT37" i="1"/>
  <c r="BQ36" i="1"/>
  <c r="AZ28" i="11" l="1"/>
  <c r="AW27" i="11"/>
  <c r="DM15" i="11"/>
  <c r="DO16" i="11"/>
  <c r="BT36" i="1"/>
  <c r="BQ35" i="1"/>
  <c r="AW26" i="11" l="1"/>
  <c r="AZ27" i="11"/>
  <c r="DM14" i="11"/>
  <c r="DO15" i="11"/>
  <c r="BT35" i="1"/>
  <c r="BQ34" i="1"/>
  <c r="AZ26" i="11" l="1"/>
  <c r="AW25" i="11"/>
  <c r="DM13" i="11"/>
  <c r="DO14" i="11"/>
  <c r="BT34" i="1"/>
  <c r="BQ33" i="1"/>
  <c r="AW24" i="11" l="1"/>
  <c r="AZ25" i="11"/>
  <c r="DM12" i="11"/>
  <c r="DO13" i="11"/>
  <c r="BT33" i="1"/>
  <c r="BQ32" i="1"/>
  <c r="AZ24" i="11" l="1"/>
  <c r="AW23" i="11"/>
  <c r="DO12" i="11"/>
  <c r="BT32" i="1"/>
  <c r="BQ31" i="1"/>
  <c r="AW22" i="11" l="1"/>
  <c r="AZ23" i="11"/>
  <c r="BT31" i="1"/>
  <c r="BQ30" i="1"/>
  <c r="AZ22" i="11" l="1"/>
  <c r="AW21" i="11"/>
  <c r="BT30" i="1"/>
  <c r="BQ29" i="1"/>
  <c r="AW20" i="11" l="1"/>
  <c r="AZ21" i="11"/>
  <c r="BT29" i="1"/>
  <c r="BQ28" i="1"/>
  <c r="AZ20" i="11" l="1"/>
  <c r="AW19" i="11"/>
  <c r="BT28" i="1"/>
  <c r="BQ27" i="1"/>
  <c r="AW18" i="11" l="1"/>
  <c r="AZ19" i="11"/>
  <c r="BT27" i="1"/>
  <c r="BQ26" i="1"/>
  <c r="AZ18" i="11" l="1"/>
  <c r="AW17" i="11"/>
  <c r="BT26" i="1"/>
  <c r="BQ25" i="1"/>
  <c r="AW16" i="11" l="1"/>
  <c r="AZ17" i="11"/>
  <c r="BT25" i="1"/>
  <c r="BQ24" i="1"/>
  <c r="AZ16" i="11" l="1"/>
  <c r="AW15" i="11"/>
  <c r="BT24" i="1"/>
  <c r="BQ23" i="1"/>
  <c r="AW14" i="11" l="1"/>
  <c r="AZ15" i="11"/>
  <c r="BT23" i="1"/>
  <c r="BQ22" i="1"/>
  <c r="AZ14" i="11" l="1"/>
  <c r="AW13" i="11"/>
  <c r="BT22" i="1"/>
  <c r="BQ21" i="1"/>
  <c r="AW12" i="11" l="1"/>
  <c r="AZ13" i="11"/>
  <c r="BT21" i="1"/>
  <c r="BQ20" i="1"/>
  <c r="AZ12" i="11" l="1"/>
  <c r="BT20" i="1"/>
  <c r="BQ19" i="1"/>
  <c r="BT19" i="1" l="1"/>
  <c r="BQ18" i="1"/>
  <c r="AZ91" i="11" l="1"/>
  <c r="AW91" i="11"/>
  <c r="BT18" i="1"/>
  <c r="BQ17" i="1"/>
  <c r="BT17" i="1" l="1"/>
  <c r="BQ16" i="1"/>
  <c r="BT16" i="1" l="1"/>
  <c r="BQ15" i="1"/>
  <c r="BT15" i="1" l="1"/>
  <c r="BQ14" i="1"/>
  <c r="BT14" i="1" l="1"/>
  <c r="BQ13" i="1"/>
  <c r="BT13" i="1" l="1"/>
  <c r="BQ12" i="1"/>
  <c r="BT12" i="1" l="1"/>
  <c r="BQ91" i="1" l="1"/>
  <c r="BT91" i="1" l="1"/>
  <c r="BG89" i="11" l="1"/>
  <c r="BG88" i="11"/>
  <c r="BG87" i="11"/>
  <c r="BG86" i="11"/>
  <c r="BG85" i="11"/>
  <c r="BG84" i="11"/>
  <c r="BG83" i="11"/>
  <c r="BG82" i="11"/>
  <c r="BG81" i="11"/>
  <c r="BG80" i="11"/>
  <c r="BG79" i="11"/>
  <c r="BG78" i="11"/>
  <c r="BG77" i="11"/>
  <c r="BG76" i="11"/>
  <c r="BG75" i="11"/>
  <c r="BG74" i="11"/>
  <c r="BG73" i="11"/>
  <c r="BG72" i="11"/>
  <c r="BG71" i="11"/>
  <c r="BG70" i="11"/>
  <c r="BG69" i="11"/>
  <c r="BG68" i="11"/>
  <c r="BG67" i="11"/>
  <c r="BG66" i="11"/>
  <c r="BG65" i="11"/>
  <c r="BG64" i="11"/>
  <c r="BG63" i="11"/>
  <c r="BG62" i="11"/>
  <c r="BG61" i="11"/>
  <c r="BG60" i="11"/>
  <c r="BG59" i="11"/>
  <c r="BG58" i="11"/>
  <c r="BG57" i="11"/>
  <c r="BG56" i="11"/>
  <c r="BG55" i="11"/>
  <c r="BG54" i="11"/>
  <c r="BG53" i="11"/>
  <c r="BG52" i="11"/>
  <c r="BG51" i="11"/>
  <c r="BG50" i="11"/>
  <c r="BG19" i="11"/>
  <c r="BE49" i="11"/>
  <c r="BE48" i="11" s="1"/>
  <c r="BG48" i="11" s="1"/>
  <c r="BE18" i="11"/>
  <c r="BG18" i="11" s="1"/>
  <c r="BC91" i="11"/>
  <c r="BE17" i="11" l="1"/>
  <c r="BG49" i="11"/>
  <c r="BE47" i="11"/>
  <c r="BF91" i="11"/>
  <c r="BE46" i="11" l="1"/>
  <c r="BG47" i="11"/>
  <c r="BE16" i="11"/>
  <c r="BG17" i="11"/>
  <c r="C3" i="4"/>
  <c r="C1" i="4"/>
  <c r="BE15" i="11" l="1"/>
  <c r="BG16" i="11"/>
  <c r="BG46" i="11"/>
  <c r="BE45" i="11"/>
  <c r="I41" i="14"/>
  <c r="I43" i="14"/>
  <c r="K44" i="12"/>
  <c r="K35" i="14" s="1"/>
  <c r="K40" i="12"/>
  <c r="I33" i="13" s="1"/>
  <c r="K28" i="12"/>
  <c r="A14" i="1"/>
  <c r="C87" i="3"/>
  <c r="C86" i="3"/>
  <c r="C84" i="3"/>
  <c r="C83" i="3"/>
  <c r="C82" i="3"/>
  <c r="C80" i="3"/>
  <c r="C79" i="3"/>
  <c r="C78" i="3"/>
  <c r="C76" i="3"/>
  <c r="C75" i="3"/>
  <c r="C74" i="3"/>
  <c r="C72" i="3"/>
  <c r="C71" i="3"/>
  <c r="C70" i="3"/>
  <c r="C68" i="3"/>
  <c r="C67" i="3"/>
  <c r="C66" i="3"/>
  <c r="C64" i="3"/>
  <c r="I63" i="3"/>
  <c r="C63" i="3"/>
  <c r="G62" i="3"/>
  <c r="E62" i="3"/>
  <c r="I61" i="3"/>
  <c r="G61" i="3"/>
  <c r="E61" i="3"/>
  <c r="I60" i="3"/>
  <c r="G60" i="3"/>
  <c r="C60" i="3"/>
  <c r="I59" i="3"/>
  <c r="E59" i="3"/>
  <c r="C59" i="3"/>
  <c r="G58" i="3"/>
  <c r="E58" i="3"/>
  <c r="C58" i="3"/>
  <c r="I57" i="3"/>
  <c r="G57" i="3"/>
  <c r="E57" i="3"/>
  <c r="I56" i="3"/>
  <c r="G56" i="3"/>
  <c r="C56" i="3"/>
  <c r="I55" i="3"/>
  <c r="E55" i="3"/>
  <c r="C55" i="3"/>
  <c r="G54" i="3"/>
  <c r="C54" i="3"/>
  <c r="I53" i="3"/>
  <c r="G53" i="3"/>
  <c r="E53" i="3"/>
  <c r="G52" i="3"/>
  <c r="C52" i="3"/>
  <c r="I51" i="3"/>
  <c r="G51" i="3"/>
  <c r="C51" i="3"/>
  <c r="I50" i="3"/>
  <c r="G50" i="3"/>
  <c r="I49" i="3"/>
  <c r="G49" i="3"/>
  <c r="C49" i="3"/>
  <c r="G48" i="3"/>
  <c r="C48" i="3"/>
  <c r="I47" i="3"/>
  <c r="I46" i="3"/>
  <c r="C46" i="3"/>
  <c r="I45" i="3"/>
  <c r="I44" i="3"/>
  <c r="C44" i="3"/>
  <c r="I43" i="3"/>
  <c r="I42" i="3"/>
  <c r="C42" i="3"/>
  <c r="I41" i="3"/>
  <c r="I40" i="3"/>
  <c r="C40" i="3"/>
  <c r="I39" i="3"/>
  <c r="I38" i="3"/>
  <c r="C38" i="3"/>
  <c r="I37" i="3"/>
  <c r="I36" i="3"/>
  <c r="C36" i="3"/>
  <c r="I35" i="3"/>
  <c r="I34" i="3"/>
  <c r="C34" i="3"/>
  <c r="I33" i="3"/>
  <c r="I32" i="3"/>
  <c r="C32" i="3"/>
  <c r="I31" i="3"/>
  <c r="I30" i="3"/>
  <c r="C30" i="3"/>
  <c r="I29" i="3"/>
  <c r="I28" i="3"/>
  <c r="G28" i="3"/>
  <c r="C28" i="3"/>
  <c r="C27" i="3"/>
  <c r="I26" i="3"/>
  <c r="G26" i="3"/>
  <c r="I25" i="3"/>
  <c r="G25" i="3"/>
  <c r="C24" i="3"/>
  <c r="G23" i="3"/>
  <c r="I22" i="3"/>
  <c r="C22" i="3"/>
  <c r="I21" i="3"/>
  <c r="G21" i="3"/>
  <c r="C21" i="3"/>
  <c r="I20" i="3"/>
  <c r="C20" i="3"/>
  <c r="G19" i="3"/>
  <c r="C19" i="3"/>
  <c r="I18" i="3"/>
  <c r="I17" i="3"/>
  <c r="G17" i="3"/>
  <c r="C17" i="3"/>
  <c r="G16" i="3"/>
  <c r="C16" i="3"/>
  <c r="I15" i="3"/>
  <c r="G15" i="3"/>
  <c r="C15" i="3"/>
  <c r="I14" i="3"/>
  <c r="G14" i="3"/>
  <c r="I13" i="3"/>
  <c r="G13" i="3"/>
  <c r="C13" i="3"/>
  <c r="G12" i="3"/>
  <c r="C12" i="3"/>
  <c r="I11" i="3"/>
  <c r="G11" i="3"/>
  <c r="I10" i="3"/>
  <c r="G10" i="3"/>
  <c r="GK89" i="1"/>
  <c r="GK88" i="1"/>
  <c r="GK87" i="1"/>
  <c r="GK86" i="1"/>
  <c r="GK85" i="1"/>
  <c r="GK84" i="1"/>
  <c r="GK83" i="1"/>
  <c r="GK82" i="1"/>
  <c r="GK81" i="1"/>
  <c r="GK80" i="1"/>
  <c r="GK79" i="1"/>
  <c r="GK78" i="1"/>
  <c r="GK77" i="1"/>
  <c r="GK76" i="1"/>
  <c r="GK75" i="1"/>
  <c r="GK74" i="1"/>
  <c r="GK73" i="1"/>
  <c r="GK72" i="1"/>
  <c r="GK71" i="1"/>
  <c r="GK70" i="1"/>
  <c r="GK69" i="1"/>
  <c r="GK68" i="1"/>
  <c r="GK67" i="1"/>
  <c r="GK66" i="1"/>
  <c r="GK65" i="1"/>
  <c r="GK64" i="1"/>
  <c r="GK63" i="1"/>
  <c r="GK62" i="1"/>
  <c r="GK61" i="1"/>
  <c r="GK60" i="1"/>
  <c r="GK59" i="1"/>
  <c r="GK58" i="1"/>
  <c r="GK57" i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GK27" i="1"/>
  <c r="GK26" i="1"/>
  <c r="GK25" i="1"/>
  <c r="GK24" i="1"/>
  <c r="GK23" i="1"/>
  <c r="GK22" i="1"/>
  <c r="GK21" i="1"/>
  <c r="GK20" i="1"/>
  <c r="GK19" i="1"/>
  <c r="GK18" i="1"/>
  <c r="GK17" i="1"/>
  <c r="GK16" i="1"/>
  <c r="GK15" i="1"/>
  <c r="GK14" i="1"/>
  <c r="GK13" i="1"/>
  <c r="GK12" i="1"/>
  <c r="GD89" i="1"/>
  <c r="GD88" i="1"/>
  <c r="GD87" i="1"/>
  <c r="GD86" i="1"/>
  <c r="GD85" i="1"/>
  <c r="GD84" i="1"/>
  <c r="GD83" i="1"/>
  <c r="GD82" i="1"/>
  <c r="GD81" i="1"/>
  <c r="GD80" i="1"/>
  <c r="GD79" i="1"/>
  <c r="GD78" i="1"/>
  <c r="GD77" i="1"/>
  <c r="GD76" i="1"/>
  <c r="GD75" i="1"/>
  <c r="GD74" i="1"/>
  <c r="GD73" i="1"/>
  <c r="GD72" i="1"/>
  <c r="GD71" i="1"/>
  <c r="GD70" i="1"/>
  <c r="GD69" i="1"/>
  <c r="GD68" i="1"/>
  <c r="GD67" i="1"/>
  <c r="GD66" i="1"/>
  <c r="GD65" i="1"/>
  <c r="GD64" i="1"/>
  <c r="GD63" i="1"/>
  <c r="GD62" i="1"/>
  <c r="GD61" i="1"/>
  <c r="GD60" i="1"/>
  <c r="GD59" i="1"/>
  <c r="GD58" i="1"/>
  <c r="GD57" i="1"/>
  <c r="GD56" i="1"/>
  <c r="GD55" i="1"/>
  <c r="GD54" i="1"/>
  <c r="GD53" i="1"/>
  <c r="GD52" i="1"/>
  <c r="GD51" i="1"/>
  <c r="GD50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GD37" i="1"/>
  <c r="GD36" i="1"/>
  <c r="GD35" i="1"/>
  <c r="GD34" i="1"/>
  <c r="GD33" i="1"/>
  <c r="GD32" i="1"/>
  <c r="GD31" i="1"/>
  <c r="GD30" i="1"/>
  <c r="GD29" i="1"/>
  <c r="GD28" i="1"/>
  <c r="GD27" i="1"/>
  <c r="GD26" i="1"/>
  <c r="GD25" i="1"/>
  <c r="GD24" i="1"/>
  <c r="GD23" i="1"/>
  <c r="GD22" i="1"/>
  <c r="GD21" i="1"/>
  <c r="GD20" i="1"/>
  <c r="GD19" i="1"/>
  <c r="GD18" i="1"/>
  <c r="GD17" i="1"/>
  <c r="GD16" i="1"/>
  <c r="GD15" i="1"/>
  <c r="GD14" i="1"/>
  <c r="GD13" i="1"/>
  <c r="GD12" i="1"/>
  <c r="FP89" i="1"/>
  <c r="FP88" i="1"/>
  <c r="FP87" i="1"/>
  <c r="FP86" i="1"/>
  <c r="FP85" i="1"/>
  <c r="FP8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70" i="1"/>
  <c r="FP69" i="1"/>
  <c r="FP68" i="1"/>
  <c r="FP67" i="1"/>
  <c r="FP66" i="1"/>
  <c r="FP65" i="1"/>
  <c r="FP64" i="1"/>
  <c r="FP63" i="1"/>
  <c r="FP62" i="1"/>
  <c r="FP61" i="1"/>
  <c r="FP60" i="1"/>
  <c r="FP59" i="1"/>
  <c r="FP58" i="1"/>
  <c r="FP57" i="1"/>
  <c r="FP56" i="1"/>
  <c r="FP55" i="1"/>
  <c r="FP54" i="1"/>
  <c r="FP53" i="1"/>
  <c r="FP52" i="1"/>
  <c r="FP51" i="1"/>
  <c r="FP50" i="1"/>
  <c r="FP49" i="1"/>
  <c r="FP48" i="1"/>
  <c r="FP47" i="1"/>
  <c r="FP46" i="1"/>
  <c r="FP45" i="1"/>
  <c r="FP44" i="1"/>
  <c r="FP43" i="1"/>
  <c r="FP42" i="1"/>
  <c r="FP41" i="1"/>
  <c r="FP4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J89" i="1"/>
  <c r="FJ88" i="1"/>
  <c r="FJ87" i="1"/>
  <c r="FJ86" i="1"/>
  <c r="FJ85" i="1"/>
  <c r="FJ84" i="1"/>
  <c r="FJ83" i="1"/>
  <c r="FJ82" i="1"/>
  <c r="FJ81" i="1"/>
  <c r="FJ80" i="1"/>
  <c r="FJ79" i="1"/>
  <c r="FJ78" i="1"/>
  <c r="FJ77" i="1"/>
  <c r="FJ76" i="1"/>
  <c r="FJ75" i="1"/>
  <c r="FJ74" i="1"/>
  <c r="FJ73" i="1"/>
  <c r="FJ72" i="1"/>
  <c r="FJ71" i="1"/>
  <c r="FJ70" i="1"/>
  <c r="FJ69" i="1"/>
  <c r="FJ68" i="1"/>
  <c r="FJ67" i="1"/>
  <c r="FJ66" i="1"/>
  <c r="FJ65" i="1"/>
  <c r="FJ64" i="1"/>
  <c r="FJ63" i="1"/>
  <c r="FJ62" i="1"/>
  <c r="FJ61" i="1"/>
  <c r="FJ60" i="1"/>
  <c r="FJ59" i="1"/>
  <c r="FJ58" i="1"/>
  <c r="FJ57" i="1"/>
  <c r="FJ56" i="1"/>
  <c r="FJ55" i="1"/>
  <c r="FJ54" i="1"/>
  <c r="FJ53" i="1"/>
  <c r="FJ52" i="1"/>
  <c r="FJ51" i="1"/>
  <c r="FJ50" i="1"/>
  <c r="FJ49" i="1"/>
  <c r="FJ48" i="1"/>
  <c r="FJ47" i="1"/>
  <c r="FJ46" i="1"/>
  <c r="FJ45" i="1"/>
  <c r="FJ44" i="1"/>
  <c r="FJ43" i="1"/>
  <c r="FJ42" i="1"/>
  <c r="FJ41" i="1"/>
  <c r="FJ40" i="1"/>
  <c r="FJ39" i="1"/>
  <c r="FJ38" i="1"/>
  <c r="FJ37" i="1"/>
  <c r="FJ36" i="1"/>
  <c r="FJ35" i="1"/>
  <c r="FJ34" i="1"/>
  <c r="FJ33" i="1"/>
  <c r="FJ32" i="1"/>
  <c r="FJ31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EQ89" i="1"/>
  <c r="EQ88" i="1"/>
  <c r="EQ87" i="1"/>
  <c r="EQ86" i="1"/>
  <c r="EQ85" i="1"/>
  <c r="EQ84" i="1"/>
  <c r="EQ83" i="1"/>
  <c r="EQ82" i="1"/>
  <c r="EQ81" i="1"/>
  <c r="EQ80" i="1"/>
  <c r="EQ79" i="1"/>
  <c r="EQ78" i="1"/>
  <c r="EQ77" i="1"/>
  <c r="EQ76" i="1"/>
  <c r="EQ75" i="1"/>
  <c r="EQ74" i="1"/>
  <c r="EQ73" i="1"/>
  <c r="EQ72" i="1"/>
  <c r="EQ71" i="1"/>
  <c r="EQ70" i="1"/>
  <c r="EQ69" i="1"/>
  <c r="EQ68" i="1"/>
  <c r="EQ67" i="1"/>
  <c r="EQ66" i="1"/>
  <c r="EQ65" i="1"/>
  <c r="EQ64" i="1"/>
  <c r="EQ63" i="1"/>
  <c r="EQ62" i="1"/>
  <c r="EQ61" i="1"/>
  <c r="EQ60" i="1"/>
  <c r="EQ59" i="1"/>
  <c r="EQ58" i="1"/>
  <c r="EQ57" i="1"/>
  <c r="EQ56" i="1"/>
  <c r="EQ55" i="1"/>
  <c r="EQ54" i="1"/>
  <c r="EQ53" i="1"/>
  <c r="EQ52" i="1"/>
  <c r="EQ51" i="1"/>
  <c r="EQ50" i="1"/>
  <c r="EQ49" i="1"/>
  <c r="EQ48" i="1"/>
  <c r="EQ47" i="1"/>
  <c r="EQ46" i="1"/>
  <c r="EQ45" i="1"/>
  <c r="EQ44" i="1"/>
  <c r="EQ43" i="1"/>
  <c r="EQ42" i="1"/>
  <c r="EQ41" i="1"/>
  <c r="EQ40" i="1"/>
  <c r="EQ39" i="1"/>
  <c r="EQ38" i="1"/>
  <c r="EQ37" i="1"/>
  <c r="EQ36" i="1"/>
  <c r="EQ35" i="1"/>
  <c r="EQ34" i="1"/>
  <c r="EQ33" i="1"/>
  <c r="EQ32" i="1"/>
  <c r="EQ31" i="1"/>
  <c r="EQ30" i="1"/>
  <c r="EQ29" i="1"/>
  <c r="EQ28" i="1"/>
  <c r="EQ27" i="1"/>
  <c r="EQ26" i="1"/>
  <c r="EQ25" i="1"/>
  <c r="EQ24" i="1"/>
  <c r="EQ23" i="1"/>
  <c r="EQ22" i="1"/>
  <c r="EQ21" i="1"/>
  <c r="EQ20" i="1"/>
  <c r="EQ19" i="1"/>
  <c r="EQ18" i="1"/>
  <c r="EQ17" i="1"/>
  <c r="EQ16" i="1"/>
  <c r="EQ15" i="1"/>
  <c r="EQ14" i="1"/>
  <c r="EQ13" i="1"/>
  <c r="EQ12" i="1"/>
  <c r="EJ89" i="1"/>
  <c r="EJ88" i="1"/>
  <c r="EJ87" i="1"/>
  <c r="EJ86" i="1"/>
  <c r="EJ85" i="1"/>
  <c r="EJ84" i="1"/>
  <c r="EJ83" i="1"/>
  <c r="EJ82" i="1"/>
  <c r="EJ81" i="1"/>
  <c r="EJ80" i="1"/>
  <c r="EJ79" i="1"/>
  <c r="EJ78" i="1"/>
  <c r="EJ77" i="1"/>
  <c r="EJ76" i="1"/>
  <c r="EJ75" i="1"/>
  <c r="EJ74" i="1"/>
  <c r="EJ73" i="1"/>
  <c r="EJ72" i="1"/>
  <c r="EJ71" i="1"/>
  <c r="EJ70" i="1"/>
  <c r="EJ69" i="1"/>
  <c r="EJ68" i="1"/>
  <c r="EJ67" i="1"/>
  <c r="EJ66" i="1"/>
  <c r="EJ65" i="1"/>
  <c r="EJ64" i="1"/>
  <c r="EJ63" i="1"/>
  <c r="EJ62" i="1"/>
  <c r="EJ61" i="1"/>
  <c r="EJ60" i="1"/>
  <c r="EJ59" i="1"/>
  <c r="EJ58" i="1"/>
  <c r="EJ57" i="1"/>
  <c r="EJ56" i="1"/>
  <c r="EJ55" i="1"/>
  <c r="EJ54" i="1"/>
  <c r="EJ53" i="1"/>
  <c r="EJ52" i="1"/>
  <c r="EJ51" i="1"/>
  <c r="EJ50" i="1"/>
  <c r="EJ49" i="1"/>
  <c r="EJ48" i="1"/>
  <c r="EJ47" i="1"/>
  <c r="EJ46" i="1"/>
  <c r="EJ45" i="1"/>
  <c r="EJ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D89" i="1"/>
  <c r="ED88" i="1"/>
  <c r="ED87" i="1"/>
  <c r="ED86" i="1"/>
  <c r="ED85" i="1"/>
  <c r="ED84" i="1"/>
  <c r="ED83" i="1"/>
  <c r="ED82" i="1"/>
  <c r="ED81" i="1"/>
  <c r="ED80" i="1"/>
  <c r="ED79" i="1"/>
  <c r="ED78" i="1"/>
  <c r="ED77" i="1"/>
  <c r="ED76" i="1"/>
  <c r="ED75" i="1"/>
  <c r="ED74" i="1"/>
  <c r="ED73" i="1"/>
  <c r="ED72" i="1"/>
  <c r="ED71" i="1"/>
  <c r="ED70" i="1"/>
  <c r="ED69" i="1"/>
  <c r="ED68" i="1"/>
  <c r="ED67" i="1"/>
  <c r="ED66" i="1"/>
  <c r="ED65" i="1"/>
  <c r="ED64" i="1"/>
  <c r="ED63" i="1"/>
  <c r="ED62" i="1"/>
  <c r="ED61" i="1"/>
  <c r="ED60" i="1"/>
  <c r="ED59" i="1"/>
  <c r="ED58" i="1"/>
  <c r="ED57" i="1"/>
  <c r="ED56" i="1"/>
  <c r="ED55" i="1"/>
  <c r="ED54" i="1"/>
  <c r="ED53" i="1"/>
  <c r="ED52" i="1"/>
  <c r="ED51" i="1"/>
  <c r="ED50" i="1"/>
  <c r="ED49" i="1"/>
  <c r="ED48" i="1"/>
  <c r="ED47" i="1"/>
  <c r="ED46" i="1"/>
  <c r="ED45" i="1"/>
  <c r="ED44" i="1"/>
  <c r="ED43" i="1"/>
  <c r="ED42" i="1"/>
  <c r="ED41" i="1"/>
  <c r="ED40" i="1"/>
  <c r="ED39" i="1"/>
  <c r="ED38" i="1"/>
  <c r="ED37" i="1"/>
  <c r="ED36" i="1"/>
  <c r="ED35" i="1"/>
  <c r="ED34" i="1"/>
  <c r="ED33" i="1"/>
  <c r="ED32" i="1"/>
  <c r="ED31" i="1"/>
  <c r="ED30" i="1"/>
  <c r="ED29" i="1"/>
  <c r="ED28" i="1"/>
  <c r="ED27" i="1"/>
  <c r="ED26" i="1"/>
  <c r="ED25" i="1"/>
  <c r="ED24" i="1"/>
  <c r="ED23" i="1"/>
  <c r="ED22" i="1"/>
  <c r="ED21" i="1"/>
  <c r="ED20" i="1"/>
  <c r="ED19" i="1"/>
  <c r="ED18" i="1"/>
  <c r="ED17" i="1"/>
  <c r="ED16" i="1"/>
  <c r="ED15" i="1"/>
  <c r="ED14" i="1"/>
  <c r="ED13" i="1"/>
  <c r="ED12" i="1"/>
  <c r="DJ89" i="1"/>
  <c r="DJ88" i="1"/>
  <c r="DJ87" i="1"/>
  <c r="DJ86" i="1"/>
  <c r="DJ85" i="1"/>
  <c r="DJ84" i="1"/>
  <c r="DJ83" i="1"/>
  <c r="DJ82" i="1"/>
  <c r="DJ81" i="1"/>
  <c r="DJ80" i="1"/>
  <c r="DJ79" i="1"/>
  <c r="DJ78" i="1"/>
  <c r="DJ77" i="1"/>
  <c r="DJ76" i="1"/>
  <c r="DJ75" i="1"/>
  <c r="DJ74" i="1"/>
  <c r="DJ73" i="1"/>
  <c r="DJ72" i="1"/>
  <c r="DJ71" i="1"/>
  <c r="DJ70" i="1"/>
  <c r="DJ69" i="1"/>
  <c r="DJ68" i="1"/>
  <c r="DJ67" i="1"/>
  <c r="DJ66" i="1"/>
  <c r="DJ65" i="1"/>
  <c r="DJ64" i="1"/>
  <c r="DJ63" i="1"/>
  <c r="DJ62" i="1"/>
  <c r="DJ61" i="1"/>
  <c r="DJ60" i="1"/>
  <c r="DJ59" i="1"/>
  <c r="DJ58" i="1"/>
  <c r="DJ57" i="1"/>
  <c r="DJ56" i="1"/>
  <c r="DJ55" i="1"/>
  <c r="DJ54" i="1"/>
  <c r="DD89" i="1"/>
  <c r="DD88" i="1"/>
  <c r="DD87" i="1"/>
  <c r="DD86" i="1"/>
  <c r="DD85" i="1"/>
  <c r="DD84" i="1"/>
  <c r="DD83" i="1"/>
  <c r="DD82" i="1"/>
  <c r="DD81" i="1"/>
  <c r="DD80" i="1"/>
  <c r="DD79" i="1"/>
  <c r="DD78" i="1"/>
  <c r="DD77" i="1"/>
  <c r="DD76" i="1"/>
  <c r="DD75" i="1"/>
  <c r="DD74" i="1"/>
  <c r="DD73" i="1"/>
  <c r="DD72" i="1"/>
  <c r="DD71" i="1"/>
  <c r="DD70" i="1"/>
  <c r="DD69" i="1"/>
  <c r="DD68" i="1"/>
  <c r="DD67" i="1"/>
  <c r="DD66" i="1"/>
  <c r="DD65" i="1"/>
  <c r="DD64" i="1"/>
  <c r="DD63" i="1"/>
  <c r="DD62" i="1"/>
  <c r="DD61" i="1"/>
  <c r="DD60" i="1"/>
  <c r="DD59" i="1"/>
  <c r="DD58" i="1"/>
  <c r="DD57" i="1"/>
  <c r="DD56" i="1"/>
  <c r="DD55" i="1"/>
  <c r="DD54" i="1"/>
  <c r="DD53" i="1"/>
  <c r="DD52" i="1"/>
  <c r="DD51" i="1"/>
  <c r="DD50" i="1"/>
  <c r="DD49" i="1"/>
  <c r="DD48" i="1"/>
  <c r="DD47" i="1"/>
  <c r="DD46" i="1"/>
  <c r="DD45" i="1"/>
  <c r="DD44" i="1"/>
  <c r="DD43" i="1"/>
  <c r="DD42" i="1"/>
  <c r="DD41" i="1"/>
  <c r="DD40" i="1"/>
  <c r="DD39" i="1"/>
  <c r="DD38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CX89" i="1"/>
  <c r="CX88" i="1"/>
  <c r="CX87" i="1"/>
  <c r="CX86" i="1"/>
  <c r="CX85" i="1"/>
  <c r="CX84" i="1"/>
  <c r="CX83" i="1"/>
  <c r="CX82" i="1"/>
  <c r="CX81" i="1"/>
  <c r="CX80" i="1"/>
  <c r="CX79" i="1"/>
  <c r="CX78" i="1"/>
  <c r="CX77" i="1"/>
  <c r="CX76" i="1"/>
  <c r="CX75" i="1"/>
  <c r="CX74" i="1"/>
  <c r="CX73" i="1"/>
  <c r="CX72" i="1"/>
  <c r="CX71" i="1"/>
  <c r="CX70" i="1"/>
  <c r="CX69" i="1"/>
  <c r="CX68" i="1"/>
  <c r="CX67" i="1"/>
  <c r="CX66" i="1"/>
  <c r="CX65" i="1"/>
  <c r="CX64" i="1"/>
  <c r="CX63" i="1"/>
  <c r="CX62" i="1"/>
  <c r="CX61" i="1"/>
  <c r="CX60" i="1"/>
  <c r="CX59" i="1"/>
  <c r="CX58" i="1"/>
  <c r="CX57" i="1"/>
  <c r="CX56" i="1"/>
  <c r="CX55" i="1"/>
  <c r="CX54" i="1"/>
  <c r="CX53" i="1"/>
  <c r="CX52" i="1"/>
  <c r="CX51" i="1"/>
  <c r="CX50" i="1"/>
  <c r="CX49" i="1"/>
  <c r="CX48" i="1"/>
  <c r="CX47" i="1"/>
  <c r="CX46" i="1"/>
  <c r="CX45" i="1"/>
  <c r="CX44" i="1"/>
  <c r="CX43" i="1"/>
  <c r="CX42" i="1"/>
  <c r="CX41" i="1"/>
  <c r="CX40" i="1"/>
  <c r="CX39" i="1"/>
  <c r="CX38" i="1"/>
  <c r="CX37" i="1"/>
  <c r="CX36" i="1"/>
  <c r="CX35" i="1"/>
  <c r="CX34" i="1"/>
  <c r="CX33" i="1"/>
  <c r="CX32" i="1"/>
  <c r="CX31" i="1"/>
  <c r="CX30" i="1"/>
  <c r="CX29" i="1"/>
  <c r="CX28" i="1"/>
  <c r="CX27" i="1"/>
  <c r="CX26" i="1"/>
  <c r="CX25" i="1"/>
  <c r="CX24" i="1"/>
  <c r="CX23" i="1"/>
  <c r="CX22" i="1"/>
  <c r="CX21" i="1"/>
  <c r="CX20" i="1"/>
  <c r="CX19" i="1"/>
  <c r="CX18" i="1"/>
  <c r="CX17" i="1"/>
  <c r="CX16" i="1"/>
  <c r="CX15" i="1"/>
  <c r="CX14" i="1"/>
  <c r="CX13" i="1"/>
  <c r="CX12" i="1"/>
  <c r="CQ89" i="1"/>
  <c r="CQ88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J89" i="1"/>
  <c r="CJ88" i="1"/>
  <c r="CJ87" i="1"/>
  <c r="CJ86" i="1"/>
  <c r="CJ85" i="1"/>
  <c r="CJ84" i="1"/>
  <c r="CJ83" i="1"/>
  <c r="CJ82" i="1"/>
  <c r="CJ81" i="1"/>
  <c r="CJ80" i="1"/>
  <c r="CJ79" i="1"/>
  <c r="CJ78" i="1"/>
  <c r="CJ77" i="1"/>
  <c r="CJ76" i="1"/>
  <c r="CJ75" i="1"/>
  <c r="CJ74" i="1"/>
  <c r="CJ73" i="1"/>
  <c r="CJ72" i="1"/>
  <c r="CJ71" i="1"/>
  <c r="CJ70" i="1"/>
  <c r="CJ69" i="1"/>
  <c r="CJ68" i="1"/>
  <c r="CJ67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DI53" i="1"/>
  <c r="S53" i="1" s="1"/>
  <c r="E51" i="4" s="1"/>
  <c r="K51" i="4" s="1"/>
  <c r="FW89" i="1"/>
  <c r="FW88" i="1"/>
  <c r="FW87" i="1"/>
  <c r="FW86" i="1"/>
  <c r="FW85" i="1"/>
  <c r="FW84" i="1"/>
  <c r="FW83" i="1"/>
  <c r="FW82" i="1"/>
  <c r="FW81" i="1"/>
  <c r="FW80" i="1"/>
  <c r="FW79" i="1"/>
  <c r="FW78" i="1"/>
  <c r="FW77" i="1"/>
  <c r="FW76" i="1"/>
  <c r="FW75" i="1"/>
  <c r="FW74" i="1"/>
  <c r="FW73" i="1"/>
  <c r="FW72" i="1"/>
  <c r="FW71" i="1"/>
  <c r="FW70" i="1"/>
  <c r="FW69" i="1"/>
  <c r="FW68" i="1"/>
  <c r="FW67" i="1"/>
  <c r="FW66" i="1"/>
  <c r="FW65" i="1"/>
  <c r="FW64" i="1"/>
  <c r="FW63" i="1"/>
  <c r="FW62" i="1"/>
  <c r="FW61" i="1"/>
  <c r="FW60" i="1"/>
  <c r="FW59" i="1"/>
  <c r="FW58" i="1"/>
  <c r="FW57" i="1"/>
  <c r="FW56" i="1"/>
  <c r="FW55" i="1"/>
  <c r="FW54" i="1"/>
  <c r="FW53" i="1"/>
  <c r="FW52" i="1"/>
  <c r="FW51" i="1"/>
  <c r="FW50" i="1"/>
  <c r="FW49" i="1"/>
  <c r="FW48" i="1"/>
  <c r="FW47" i="1"/>
  <c r="FW46" i="1"/>
  <c r="FW45" i="1"/>
  <c r="FW44" i="1"/>
  <c r="FW43" i="1"/>
  <c r="FW42" i="1"/>
  <c r="FW41" i="1"/>
  <c r="FW40" i="1"/>
  <c r="FW39" i="1"/>
  <c r="FW38" i="1"/>
  <c r="FW37" i="1"/>
  <c r="FW36" i="1"/>
  <c r="FW35" i="1"/>
  <c r="FW34" i="1"/>
  <c r="FW33" i="1"/>
  <c r="FW32" i="1"/>
  <c r="FW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W12" i="1"/>
  <c r="EX89" i="1"/>
  <c r="EX88" i="1"/>
  <c r="EX87" i="1"/>
  <c r="EX86" i="1"/>
  <c r="EX85" i="1"/>
  <c r="EX84" i="1"/>
  <c r="EX83" i="1"/>
  <c r="EX82" i="1"/>
  <c r="EX81" i="1"/>
  <c r="EX80" i="1"/>
  <c r="EX79" i="1"/>
  <c r="EX78" i="1"/>
  <c r="EX77" i="1"/>
  <c r="EX76" i="1"/>
  <c r="EX75" i="1"/>
  <c r="EX74" i="1"/>
  <c r="EX73" i="1"/>
  <c r="EX72" i="1"/>
  <c r="EX71" i="1"/>
  <c r="EX70" i="1"/>
  <c r="EX69" i="1"/>
  <c r="EX68" i="1"/>
  <c r="EX67" i="1"/>
  <c r="EX66" i="1"/>
  <c r="EX65" i="1"/>
  <c r="EX64" i="1"/>
  <c r="EX63" i="1"/>
  <c r="EX62" i="1"/>
  <c r="EX61" i="1"/>
  <c r="EX60" i="1"/>
  <c r="EX59" i="1"/>
  <c r="EX58" i="1"/>
  <c r="EX57" i="1"/>
  <c r="EX56" i="1"/>
  <c r="EX55" i="1"/>
  <c r="EX54" i="1"/>
  <c r="EX53" i="1"/>
  <c r="EX52" i="1"/>
  <c r="EX51" i="1"/>
  <c r="EX50" i="1"/>
  <c r="EX49" i="1"/>
  <c r="EX48" i="1"/>
  <c r="EX47" i="1"/>
  <c r="EX46" i="1"/>
  <c r="EX45" i="1"/>
  <c r="EX44" i="1"/>
  <c r="EX43" i="1"/>
  <c r="EX42" i="1"/>
  <c r="EX41" i="1"/>
  <c r="EX40" i="1"/>
  <c r="EX39" i="1"/>
  <c r="EX38" i="1"/>
  <c r="EX37" i="1"/>
  <c r="EX36" i="1"/>
  <c r="EX35" i="1"/>
  <c r="EX34" i="1"/>
  <c r="EX33" i="1"/>
  <c r="EX32" i="1"/>
  <c r="EX31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8" i="1"/>
  <c r="EX17" i="1"/>
  <c r="EX16" i="1"/>
  <c r="EV15" i="1"/>
  <c r="DQ89" i="1"/>
  <c r="DQ88" i="1"/>
  <c r="DQ87" i="1"/>
  <c r="DQ86" i="1"/>
  <c r="DQ85" i="1"/>
  <c r="DQ84" i="1"/>
  <c r="DQ83" i="1"/>
  <c r="DQ82" i="1"/>
  <c r="DQ81" i="1"/>
  <c r="DQ80" i="1"/>
  <c r="DQ79" i="1"/>
  <c r="DQ78" i="1"/>
  <c r="DQ77" i="1"/>
  <c r="DQ76" i="1"/>
  <c r="DQ75" i="1"/>
  <c r="DQ74" i="1"/>
  <c r="DQ73" i="1"/>
  <c r="DQ72" i="1"/>
  <c r="DQ71" i="1"/>
  <c r="DQ70" i="1"/>
  <c r="DQ69" i="1"/>
  <c r="DQ68" i="1"/>
  <c r="DQ67" i="1"/>
  <c r="DQ66" i="1"/>
  <c r="DQ65" i="1"/>
  <c r="DQ64" i="1"/>
  <c r="DQ63" i="1"/>
  <c r="DQ62" i="1"/>
  <c r="DQ61" i="1"/>
  <c r="DQ60" i="1"/>
  <c r="DQ59" i="1"/>
  <c r="DQ58" i="1"/>
  <c r="DQ57" i="1"/>
  <c r="DQ56" i="1"/>
  <c r="DQ55" i="1"/>
  <c r="DQ54" i="1"/>
  <c r="DQ53" i="1"/>
  <c r="DQ52" i="1"/>
  <c r="DQ51" i="1"/>
  <c r="DQ50" i="1"/>
  <c r="DQ49" i="1"/>
  <c r="DQ48" i="1"/>
  <c r="DQ47" i="1"/>
  <c r="DQ46" i="1"/>
  <c r="DQ45" i="1"/>
  <c r="DQ44" i="1"/>
  <c r="DQ43" i="1"/>
  <c r="DQ42" i="1"/>
  <c r="DQ41" i="1"/>
  <c r="DQ40" i="1"/>
  <c r="DQ39" i="1"/>
  <c r="DQ38" i="1"/>
  <c r="DQ37" i="1"/>
  <c r="DQ36" i="1"/>
  <c r="DQ35" i="1"/>
  <c r="DQ34" i="1"/>
  <c r="DQ33" i="1"/>
  <c r="DQ32" i="1"/>
  <c r="DQ31" i="1"/>
  <c r="DQ30" i="1"/>
  <c r="DQ29" i="1"/>
  <c r="DQ28" i="1"/>
  <c r="DQ27" i="1"/>
  <c r="DQ26" i="1"/>
  <c r="DQ25" i="1"/>
  <c r="DQ24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GJ91" i="1"/>
  <c r="GI91" i="1"/>
  <c r="GG91" i="1"/>
  <c r="GC91" i="1"/>
  <c r="GB91" i="1"/>
  <c r="FZ91" i="1"/>
  <c r="FV91" i="1"/>
  <c r="FU91" i="1"/>
  <c r="FS91" i="1"/>
  <c r="FO91" i="1"/>
  <c r="FM91" i="1"/>
  <c r="FI91" i="1"/>
  <c r="FG91" i="1"/>
  <c r="FD91" i="1"/>
  <c r="FC91" i="1"/>
  <c r="FA91" i="1"/>
  <c r="EW91" i="1"/>
  <c r="ET91" i="1"/>
  <c r="EP91" i="1"/>
  <c r="EO91" i="1"/>
  <c r="EM91" i="1"/>
  <c r="EI91" i="1"/>
  <c r="EG91" i="1"/>
  <c r="EC91" i="1"/>
  <c r="EB91" i="1"/>
  <c r="DZ91" i="1"/>
  <c r="DW91" i="1"/>
  <c r="DV91" i="1"/>
  <c r="DT91" i="1"/>
  <c r="DP91" i="1"/>
  <c r="DO91" i="1"/>
  <c r="DM91" i="1"/>
  <c r="DG91" i="1"/>
  <c r="DC91" i="1"/>
  <c r="DA91" i="1"/>
  <c r="CW91" i="1"/>
  <c r="CV91" i="1"/>
  <c r="CT91" i="1"/>
  <c r="CP91" i="1"/>
  <c r="CO91" i="1"/>
  <c r="CM91" i="1"/>
  <c r="CI91" i="1"/>
  <c r="CH91" i="1"/>
  <c r="CG91" i="1"/>
  <c r="CE91" i="1"/>
  <c r="CA91" i="1"/>
  <c r="BW91" i="1"/>
  <c r="G43" i="3"/>
  <c r="G40" i="3"/>
  <c r="G37" i="3"/>
  <c r="G22" i="3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FH89" i="11"/>
  <c r="FH88" i="11"/>
  <c r="FH87" i="11"/>
  <c r="FH86" i="11"/>
  <c r="FH85" i="11"/>
  <c r="FH84" i="11"/>
  <c r="FH83" i="11"/>
  <c r="FH82" i="11"/>
  <c r="FH81" i="11"/>
  <c r="FH80" i="11"/>
  <c r="FH79" i="11"/>
  <c r="FH78" i="11"/>
  <c r="FH77" i="11"/>
  <c r="FH76" i="11"/>
  <c r="FH75" i="11"/>
  <c r="FH74" i="11"/>
  <c r="FH73" i="11"/>
  <c r="FH72" i="11"/>
  <c r="FH71" i="11"/>
  <c r="FH70" i="11"/>
  <c r="FH69" i="11"/>
  <c r="FH68" i="11"/>
  <c r="FH67" i="11"/>
  <c r="FH66" i="11"/>
  <c r="FH65" i="11"/>
  <c r="FH64" i="11"/>
  <c r="FH63" i="11"/>
  <c r="FH62" i="11"/>
  <c r="FH61" i="11"/>
  <c r="FH60" i="11"/>
  <c r="FH59" i="11"/>
  <c r="FH58" i="11"/>
  <c r="FH57" i="11"/>
  <c r="FH56" i="11"/>
  <c r="FH55" i="11"/>
  <c r="FH54" i="11"/>
  <c r="FH53" i="11"/>
  <c r="FH52" i="11"/>
  <c r="FH51" i="11"/>
  <c r="FH50" i="11"/>
  <c r="FH49" i="11"/>
  <c r="FH48" i="11"/>
  <c r="FH47" i="11"/>
  <c r="FH46" i="11"/>
  <c r="FH45" i="11"/>
  <c r="FH44" i="11"/>
  <c r="FH43" i="11"/>
  <c r="FH42" i="11"/>
  <c r="FH41" i="11"/>
  <c r="FH40" i="11"/>
  <c r="FH39" i="11"/>
  <c r="FH38" i="11"/>
  <c r="FH37" i="11"/>
  <c r="FH36" i="11"/>
  <c r="FH35" i="11"/>
  <c r="FH34" i="11"/>
  <c r="FH33" i="11"/>
  <c r="FH32" i="11"/>
  <c r="FH31" i="11"/>
  <c r="FH30" i="11"/>
  <c r="FH29" i="11"/>
  <c r="FH28" i="11"/>
  <c r="FH27" i="11"/>
  <c r="FH26" i="11"/>
  <c r="FH25" i="11"/>
  <c r="FH24" i="11"/>
  <c r="FH23" i="11"/>
  <c r="FH22" i="11"/>
  <c r="FH21" i="11"/>
  <c r="FH20" i="11"/>
  <c r="FH19" i="11"/>
  <c r="FH18" i="11"/>
  <c r="FH17" i="11"/>
  <c r="FH16" i="11"/>
  <c r="FH15" i="11"/>
  <c r="FH14" i="11"/>
  <c r="FH13" i="11"/>
  <c r="FH12" i="11"/>
  <c r="GC89" i="11"/>
  <c r="GC88" i="11"/>
  <c r="GC87" i="11"/>
  <c r="GC86" i="11"/>
  <c r="GC85" i="11"/>
  <c r="GC84" i="11"/>
  <c r="GC83" i="11"/>
  <c r="GC82" i="11"/>
  <c r="GC81" i="11"/>
  <c r="GC80" i="11"/>
  <c r="GC79" i="11"/>
  <c r="GC78" i="11"/>
  <c r="GC77" i="11"/>
  <c r="GC76" i="11"/>
  <c r="GC75" i="11"/>
  <c r="GC74" i="11"/>
  <c r="GC73" i="11"/>
  <c r="GC72" i="11"/>
  <c r="GC71" i="11"/>
  <c r="GC70" i="11"/>
  <c r="GC69" i="11"/>
  <c r="GC68" i="11"/>
  <c r="GC67" i="11"/>
  <c r="GC66" i="11"/>
  <c r="GC65" i="11"/>
  <c r="GC64" i="11"/>
  <c r="GC63" i="11"/>
  <c r="GC62" i="11"/>
  <c r="GC61" i="11"/>
  <c r="GC60" i="11"/>
  <c r="GC59" i="11"/>
  <c r="GC58" i="11"/>
  <c r="GC57" i="11"/>
  <c r="GC56" i="11"/>
  <c r="GC55" i="11"/>
  <c r="GC54" i="11"/>
  <c r="GC53" i="11"/>
  <c r="GC52" i="11"/>
  <c r="GC51" i="11"/>
  <c r="GC50" i="11"/>
  <c r="GC49" i="11"/>
  <c r="GC48" i="11"/>
  <c r="GC47" i="11"/>
  <c r="GC46" i="11"/>
  <c r="GC45" i="11"/>
  <c r="GC44" i="11"/>
  <c r="GC43" i="11"/>
  <c r="GC42" i="11"/>
  <c r="GC41" i="11"/>
  <c r="GC40" i="11"/>
  <c r="GC39" i="11"/>
  <c r="GC38" i="11"/>
  <c r="GC37" i="11"/>
  <c r="GC36" i="11"/>
  <c r="GC35" i="11"/>
  <c r="GC34" i="11"/>
  <c r="GC33" i="11"/>
  <c r="GC32" i="11"/>
  <c r="GC31" i="11"/>
  <c r="GC30" i="11"/>
  <c r="GC29" i="11"/>
  <c r="GC28" i="11"/>
  <c r="GC27" i="11"/>
  <c r="GC26" i="11"/>
  <c r="GC25" i="11"/>
  <c r="GC24" i="11"/>
  <c r="GC23" i="11"/>
  <c r="GC22" i="11"/>
  <c r="GC21" i="11"/>
  <c r="GC20" i="11"/>
  <c r="GC19" i="11"/>
  <c r="GC18" i="11"/>
  <c r="GC17" i="11"/>
  <c r="GC16" i="11"/>
  <c r="GC15" i="11"/>
  <c r="GC14" i="11"/>
  <c r="GC13" i="11"/>
  <c r="GC12" i="11"/>
  <c r="FV89" i="11"/>
  <c r="FV88" i="11"/>
  <c r="FV87" i="11"/>
  <c r="FV86" i="11"/>
  <c r="FV85" i="11"/>
  <c r="FV84" i="11"/>
  <c r="FV83" i="11"/>
  <c r="FV82" i="11"/>
  <c r="FV81" i="11"/>
  <c r="FV80" i="11"/>
  <c r="FV79" i="11"/>
  <c r="FV78" i="11"/>
  <c r="FV77" i="11"/>
  <c r="FV76" i="11"/>
  <c r="FV75" i="11"/>
  <c r="FV74" i="11"/>
  <c r="FV73" i="11"/>
  <c r="FV72" i="11"/>
  <c r="FV71" i="11"/>
  <c r="FV70" i="11"/>
  <c r="FV69" i="11"/>
  <c r="FV68" i="11"/>
  <c r="FV67" i="11"/>
  <c r="FV66" i="11"/>
  <c r="FV65" i="11"/>
  <c r="FV64" i="11"/>
  <c r="FV63" i="11"/>
  <c r="FV62" i="11"/>
  <c r="FV61" i="11"/>
  <c r="FV60" i="11"/>
  <c r="FV59" i="11"/>
  <c r="FV58" i="11"/>
  <c r="FV57" i="11"/>
  <c r="FV56" i="11"/>
  <c r="FV55" i="11"/>
  <c r="FV54" i="11"/>
  <c r="FV53" i="11"/>
  <c r="FV52" i="11"/>
  <c r="FV51" i="11"/>
  <c r="FV50" i="11"/>
  <c r="FV49" i="11"/>
  <c r="FV48" i="11"/>
  <c r="FV47" i="11"/>
  <c r="FV46" i="11"/>
  <c r="FV45" i="11"/>
  <c r="FV44" i="11"/>
  <c r="FV43" i="11"/>
  <c r="FV42" i="11"/>
  <c r="FV41" i="11"/>
  <c r="FV40" i="11"/>
  <c r="FV39" i="11"/>
  <c r="FV38" i="11"/>
  <c r="FV37" i="11"/>
  <c r="FV36" i="11"/>
  <c r="FV35" i="11"/>
  <c r="FV34" i="11"/>
  <c r="FV33" i="11"/>
  <c r="FV32" i="11"/>
  <c r="FV31" i="11"/>
  <c r="FV30" i="11"/>
  <c r="FV29" i="11"/>
  <c r="FV28" i="11"/>
  <c r="FV27" i="11"/>
  <c r="FV26" i="11"/>
  <c r="FV25" i="11"/>
  <c r="FV24" i="11"/>
  <c r="FV23" i="11"/>
  <c r="FV22" i="11"/>
  <c r="FV21" i="11"/>
  <c r="FV20" i="11"/>
  <c r="FV19" i="11"/>
  <c r="FV18" i="11"/>
  <c r="FV17" i="11"/>
  <c r="FV16" i="11"/>
  <c r="FV15" i="11"/>
  <c r="FV14" i="11"/>
  <c r="FV13" i="11"/>
  <c r="FV12" i="11"/>
  <c r="FO89" i="11"/>
  <c r="FO88" i="11"/>
  <c r="FO87" i="11"/>
  <c r="FO86" i="11"/>
  <c r="FO85" i="11"/>
  <c r="FO84" i="11"/>
  <c r="FO83" i="11"/>
  <c r="FO82" i="11"/>
  <c r="FO81" i="11"/>
  <c r="FO80" i="11"/>
  <c r="FO79" i="11"/>
  <c r="FO78" i="11"/>
  <c r="FO77" i="11"/>
  <c r="FO76" i="11"/>
  <c r="FO75" i="11"/>
  <c r="FO74" i="11"/>
  <c r="FO73" i="11"/>
  <c r="FO72" i="11"/>
  <c r="FO71" i="11"/>
  <c r="FO70" i="11"/>
  <c r="FO69" i="11"/>
  <c r="FO68" i="11"/>
  <c r="FO67" i="11"/>
  <c r="FO66" i="11"/>
  <c r="FO65" i="11"/>
  <c r="FO64" i="11"/>
  <c r="FO63" i="11"/>
  <c r="FO62" i="11"/>
  <c r="FO61" i="11"/>
  <c r="FO60" i="11"/>
  <c r="FO59" i="11"/>
  <c r="FO58" i="11"/>
  <c r="FO57" i="11"/>
  <c r="FO56" i="11"/>
  <c r="FO55" i="11"/>
  <c r="FO54" i="11"/>
  <c r="FO53" i="11"/>
  <c r="FO52" i="11"/>
  <c r="FO51" i="11"/>
  <c r="FO50" i="11"/>
  <c r="FO49" i="11"/>
  <c r="FO48" i="11"/>
  <c r="FO47" i="11"/>
  <c r="FO46" i="11"/>
  <c r="FO45" i="11"/>
  <c r="FO44" i="11"/>
  <c r="FO43" i="11"/>
  <c r="FO42" i="11"/>
  <c r="FO41" i="11"/>
  <c r="FO40" i="11"/>
  <c r="FO39" i="11"/>
  <c r="FO38" i="11"/>
  <c r="FO37" i="11"/>
  <c r="FO36" i="11"/>
  <c r="FO35" i="11"/>
  <c r="FO34" i="11"/>
  <c r="FO33" i="11"/>
  <c r="FO32" i="11"/>
  <c r="FO31" i="11"/>
  <c r="FO30" i="11"/>
  <c r="FO29" i="11"/>
  <c r="FO28" i="11"/>
  <c r="FO27" i="11"/>
  <c r="FO26" i="11"/>
  <c r="FO25" i="11"/>
  <c r="FO24" i="11"/>
  <c r="FO23" i="11"/>
  <c r="FO22" i="11"/>
  <c r="FO21" i="11"/>
  <c r="FO20" i="11"/>
  <c r="FO19" i="11"/>
  <c r="FO18" i="11"/>
  <c r="FO17" i="11"/>
  <c r="FO16" i="11"/>
  <c r="FO15" i="11"/>
  <c r="FO14" i="11"/>
  <c r="FO13" i="11"/>
  <c r="FO12" i="11"/>
  <c r="CU89" i="11"/>
  <c r="CU88" i="11"/>
  <c r="CU87" i="11"/>
  <c r="CU86" i="11"/>
  <c r="CU85" i="11"/>
  <c r="CU84" i="11"/>
  <c r="CU83" i="11"/>
  <c r="CU82" i="11"/>
  <c r="CU81" i="11"/>
  <c r="CU80" i="11"/>
  <c r="CU79" i="11"/>
  <c r="CU78" i="11"/>
  <c r="CU77" i="11"/>
  <c r="CU76" i="11"/>
  <c r="CU75" i="11"/>
  <c r="CU74" i="11"/>
  <c r="CU73" i="11"/>
  <c r="CU72" i="11"/>
  <c r="CU71" i="11"/>
  <c r="CU70" i="11"/>
  <c r="CU69" i="11"/>
  <c r="CU68" i="11"/>
  <c r="CU67" i="11"/>
  <c r="CU66" i="11"/>
  <c r="CU65" i="11"/>
  <c r="CU64" i="11"/>
  <c r="CU63" i="11"/>
  <c r="CU62" i="11"/>
  <c r="CU61" i="11"/>
  <c r="CU60" i="11"/>
  <c r="CU59" i="11"/>
  <c r="CU58" i="11"/>
  <c r="CU57" i="11"/>
  <c r="CU56" i="11"/>
  <c r="CU55" i="11"/>
  <c r="CU54" i="11"/>
  <c r="CU53" i="11"/>
  <c r="CU52" i="11"/>
  <c r="CU51" i="11"/>
  <c r="CU50" i="11"/>
  <c r="CU49" i="11"/>
  <c r="CU48" i="11"/>
  <c r="CU47" i="11"/>
  <c r="CU46" i="11"/>
  <c r="CU45" i="11"/>
  <c r="CU44" i="11"/>
  <c r="CU43" i="11"/>
  <c r="CU42" i="11"/>
  <c r="CU41" i="11"/>
  <c r="CU40" i="11"/>
  <c r="CU39" i="11"/>
  <c r="CU38" i="11"/>
  <c r="CU37" i="11"/>
  <c r="CU36" i="11"/>
  <c r="CU35" i="11"/>
  <c r="CU34" i="11"/>
  <c r="CU33" i="11"/>
  <c r="CU32" i="11"/>
  <c r="CU31" i="11"/>
  <c r="CU30" i="11"/>
  <c r="CU29" i="11"/>
  <c r="CU28" i="11"/>
  <c r="CU27" i="11"/>
  <c r="CU26" i="11"/>
  <c r="CU25" i="11"/>
  <c r="CU24" i="11"/>
  <c r="CU23" i="11"/>
  <c r="CU22" i="11"/>
  <c r="CU21" i="11"/>
  <c r="CU20" i="11"/>
  <c r="CU19" i="11"/>
  <c r="CU18" i="11"/>
  <c r="CU17" i="11"/>
  <c r="CU16" i="11"/>
  <c r="CU15" i="11"/>
  <c r="CU14" i="11"/>
  <c r="EI89" i="11"/>
  <c r="EI88" i="11"/>
  <c r="EI87" i="11"/>
  <c r="EI86" i="11"/>
  <c r="EI85" i="11"/>
  <c r="EI84" i="11"/>
  <c r="EI83" i="11"/>
  <c r="EI82" i="11"/>
  <c r="EI81" i="11"/>
  <c r="EI80" i="11"/>
  <c r="EI79" i="11"/>
  <c r="EI78" i="11"/>
  <c r="EI77" i="11"/>
  <c r="EI76" i="11"/>
  <c r="EI75" i="11"/>
  <c r="EI74" i="11"/>
  <c r="EI73" i="11"/>
  <c r="EI72" i="11"/>
  <c r="EI71" i="11"/>
  <c r="EI70" i="11"/>
  <c r="EI69" i="11"/>
  <c r="EI68" i="11"/>
  <c r="EI67" i="11"/>
  <c r="EI66" i="11"/>
  <c r="EI65" i="11"/>
  <c r="EI64" i="11"/>
  <c r="EI63" i="11"/>
  <c r="EI62" i="11"/>
  <c r="EI61" i="11"/>
  <c r="EI60" i="11"/>
  <c r="EI59" i="11"/>
  <c r="EI58" i="11"/>
  <c r="EI57" i="11"/>
  <c r="EI56" i="11"/>
  <c r="EI55" i="11"/>
  <c r="EI54" i="11"/>
  <c r="EI53" i="11"/>
  <c r="EI52" i="11"/>
  <c r="EI51" i="11"/>
  <c r="EI50" i="11"/>
  <c r="EI49" i="11"/>
  <c r="EI48" i="11"/>
  <c r="EI47" i="11"/>
  <c r="EI46" i="11"/>
  <c r="EI45" i="11"/>
  <c r="EI44" i="11"/>
  <c r="EI43" i="11"/>
  <c r="EI42" i="11"/>
  <c r="EI41" i="11"/>
  <c r="EI40" i="11"/>
  <c r="EI39" i="11"/>
  <c r="EI38" i="11"/>
  <c r="EI37" i="11"/>
  <c r="EI36" i="11"/>
  <c r="EI35" i="11"/>
  <c r="EI34" i="11"/>
  <c r="EI33" i="11"/>
  <c r="EI32" i="11"/>
  <c r="EI31" i="11"/>
  <c r="EI30" i="11"/>
  <c r="EI29" i="11"/>
  <c r="EI28" i="11"/>
  <c r="EI27" i="11"/>
  <c r="EI26" i="11"/>
  <c r="EI25" i="11"/>
  <c r="EI24" i="11"/>
  <c r="EI23" i="11"/>
  <c r="EI22" i="11"/>
  <c r="EI21" i="11"/>
  <c r="EI20" i="11"/>
  <c r="EI19" i="11"/>
  <c r="EI18" i="11"/>
  <c r="EI17" i="11"/>
  <c r="EI16" i="11"/>
  <c r="EI15" i="11"/>
  <c r="EI14" i="11"/>
  <c r="EI13" i="11"/>
  <c r="EI12" i="11"/>
  <c r="G18" i="3"/>
  <c r="G32" i="3"/>
  <c r="G36" i="3"/>
  <c r="G44" i="3"/>
  <c r="BZ91" i="1"/>
  <c r="G29" i="3"/>
  <c r="G24" i="3"/>
  <c r="G31" i="3"/>
  <c r="G34" i="3"/>
  <c r="G39" i="3"/>
  <c r="G47" i="3"/>
  <c r="CU13" i="11"/>
  <c r="CB19" i="1"/>
  <c r="BU91" i="11"/>
  <c r="BT91" i="11"/>
  <c r="BS91" i="11"/>
  <c r="BQ91" i="11"/>
  <c r="BN91" i="11"/>
  <c r="BM91" i="11"/>
  <c r="BL91" i="11"/>
  <c r="BJ91" i="11"/>
  <c r="I45" i="14"/>
  <c r="DB91" i="11"/>
  <c r="DA91" i="11"/>
  <c r="CX91" i="11"/>
  <c r="CT91" i="11"/>
  <c r="CQ91" i="11"/>
  <c r="CN91" i="11"/>
  <c r="CM91" i="11"/>
  <c r="CK91" i="11"/>
  <c r="CH91" i="11"/>
  <c r="CG91" i="11"/>
  <c r="CE91" i="11"/>
  <c r="CB91" i="11"/>
  <c r="CA91" i="11"/>
  <c r="BZ91" i="11"/>
  <c r="BX91" i="11"/>
  <c r="H91" i="11"/>
  <c r="GA91" i="11"/>
  <c r="FY91" i="11"/>
  <c r="FT91" i="11"/>
  <c r="FR91" i="11"/>
  <c r="FM91" i="11"/>
  <c r="FK91" i="11"/>
  <c r="FG91" i="11"/>
  <c r="FF91" i="11"/>
  <c r="FD91" i="11"/>
  <c r="FA91" i="11"/>
  <c r="EZ91" i="11"/>
  <c r="EX91" i="11"/>
  <c r="EU91" i="11"/>
  <c r="ET91" i="11"/>
  <c r="ER91" i="11"/>
  <c r="EO91" i="11"/>
  <c r="EN91" i="11"/>
  <c r="EM91" i="11"/>
  <c r="EL91" i="11"/>
  <c r="EE91" i="11"/>
  <c r="DX91" i="11"/>
  <c r="DR91" i="11"/>
  <c r="DO91" i="11"/>
  <c r="DN91" i="11"/>
  <c r="DM91" i="11"/>
  <c r="DE91" i="11"/>
  <c r="DU89" i="11"/>
  <c r="DU88" i="11"/>
  <c r="DU87" i="11"/>
  <c r="DU86" i="11"/>
  <c r="DU85" i="11"/>
  <c r="DU84" i="11"/>
  <c r="DU83" i="11"/>
  <c r="DU82" i="11"/>
  <c r="DU81" i="11"/>
  <c r="DU80" i="11"/>
  <c r="DU79" i="11"/>
  <c r="DU78" i="11"/>
  <c r="DU77" i="11"/>
  <c r="DU76" i="11"/>
  <c r="DU75" i="11"/>
  <c r="DU74" i="11"/>
  <c r="DU73" i="11"/>
  <c r="DU72" i="11"/>
  <c r="DU71" i="11"/>
  <c r="DU70" i="11"/>
  <c r="DT69" i="11"/>
  <c r="EB89" i="11"/>
  <c r="EB88" i="11"/>
  <c r="EB87" i="11"/>
  <c r="EB86" i="11"/>
  <c r="EB85" i="11"/>
  <c r="EB84" i="11"/>
  <c r="EB83" i="11"/>
  <c r="EB82" i="11"/>
  <c r="EB81" i="11"/>
  <c r="EB80" i="11"/>
  <c r="EB79" i="11"/>
  <c r="EB78" i="11"/>
  <c r="EB77" i="11"/>
  <c r="EB76" i="11"/>
  <c r="EB75" i="11"/>
  <c r="EB74" i="11"/>
  <c r="EB73" i="11"/>
  <c r="EB72" i="11"/>
  <c r="EB71" i="11"/>
  <c r="EB70" i="11"/>
  <c r="EB69" i="11"/>
  <c r="EB68" i="11"/>
  <c r="EB67" i="11"/>
  <c r="EB66" i="11"/>
  <c r="EB65" i="11"/>
  <c r="EB64" i="11"/>
  <c r="EB63" i="11"/>
  <c r="EB62" i="11"/>
  <c r="EB61" i="11"/>
  <c r="EB60" i="11"/>
  <c r="EB59" i="11"/>
  <c r="EB58" i="11"/>
  <c r="EB57" i="11"/>
  <c r="EB56" i="11"/>
  <c r="EB55" i="11"/>
  <c r="EB54" i="11"/>
  <c r="EB53" i="11"/>
  <c r="EB52" i="11"/>
  <c r="EB51" i="11"/>
  <c r="EB50" i="11"/>
  <c r="EB49" i="11"/>
  <c r="EB48" i="11"/>
  <c r="EB47" i="11"/>
  <c r="EB46" i="11"/>
  <c r="EB45" i="11"/>
  <c r="EB44" i="11"/>
  <c r="EB43" i="11"/>
  <c r="EB42" i="11"/>
  <c r="EB41" i="11"/>
  <c r="EB40" i="11"/>
  <c r="EB39" i="11"/>
  <c r="EB38" i="11"/>
  <c r="EB37" i="11"/>
  <c r="EB36" i="11"/>
  <c r="EB35" i="11"/>
  <c r="EB34" i="11"/>
  <c r="EB33" i="11"/>
  <c r="EB32" i="11"/>
  <c r="EB31" i="11"/>
  <c r="EB30" i="11"/>
  <c r="EB28" i="11"/>
  <c r="EB27" i="11"/>
  <c r="EB26" i="11"/>
  <c r="EB25" i="11"/>
  <c r="EB24" i="11"/>
  <c r="FN91" i="11"/>
  <c r="FU91" i="11"/>
  <c r="K73" i="9"/>
  <c r="I73" i="9"/>
  <c r="G7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E73" i="9"/>
  <c r="H30" i="8"/>
  <c r="H33" i="8" s="1"/>
  <c r="K49" i="14"/>
  <c r="EA91" i="11"/>
  <c r="EB29" i="11"/>
  <c r="EB23" i="11"/>
  <c r="EB22" i="11"/>
  <c r="EB21" i="11"/>
  <c r="EB20" i="11"/>
  <c r="EB19" i="11"/>
  <c r="EB18" i="11"/>
  <c r="EB16" i="11"/>
  <c r="EB15" i="11"/>
  <c r="EB14" i="11"/>
  <c r="EB13" i="11"/>
  <c r="EB12" i="11"/>
  <c r="DZ91" i="11"/>
  <c r="GB91" i="11"/>
  <c r="GC91" i="11" l="1"/>
  <c r="DJ53" i="1"/>
  <c r="DI52" i="1"/>
  <c r="CJ91" i="1"/>
  <c r="CQ91" i="1"/>
  <c r="CX91" i="1"/>
  <c r="EJ91" i="1"/>
  <c r="EQ91" i="1"/>
  <c r="K49" i="13"/>
  <c r="K51" i="13" s="1"/>
  <c r="I51" i="13"/>
  <c r="K54" i="14"/>
  <c r="BE44" i="11"/>
  <c r="BG45" i="11"/>
  <c r="FO91" i="11"/>
  <c r="BE14" i="11"/>
  <c r="BG15" i="11"/>
  <c r="FJ91" i="1"/>
  <c r="DQ91" i="1"/>
  <c r="DD91" i="1"/>
  <c r="M73" i="9"/>
  <c r="ED91" i="1"/>
  <c r="I91" i="1"/>
  <c r="M85" i="1"/>
  <c r="M87" i="1"/>
  <c r="M89" i="1"/>
  <c r="V80" i="1"/>
  <c r="V88" i="1"/>
  <c r="R91" i="1"/>
  <c r="I23" i="3"/>
  <c r="FP91" i="1"/>
  <c r="FW91" i="1"/>
  <c r="GD91" i="1"/>
  <c r="GK91" i="1"/>
  <c r="I52" i="3"/>
  <c r="L91" i="1"/>
  <c r="V84" i="1"/>
  <c r="G46" i="3"/>
  <c r="G41" i="3"/>
  <c r="G38" i="3"/>
  <c r="V68" i="1"/>
  <c r="V56" i="1"/>
  <c r="V72" i="1"/>
  <c r="C62" i="3"/>
  <c r="V60" i="1"/>
  <c r="V76" i="1"/>
  <c r="C11" i="3"/>
  <c r="V64" i="1"/>
  <c r="FV91" i="11"/>
  <c r="FH91" i="11"/>
  <c r="A92" i="4"/>
  <c r="A92" i="3"/>
  <c r="CB17" i="1"/>
  <c r="E91" i="11"/>
  <c r="EB91" i="11"/>
  <c r="DU69" i="11"/>
  <c r="DT68" i="11"/>
  <c r="G42" i="3"/>
  <c r="CB18" i="1"/>
  <c r="CB49" i="1"/>
  <c r="EV14" i="1"/>
  <c r="EX15" i="1"/>
  <c r="G55" i="3"/>
  <c r="K55" i="3" s="1"/>
  <c r="V57" i="1"/>
  <c r="E60" i="3"/>
  <c r="K60" i="3" s="1"/>
  <c r="C65" i="3"/>
  <c r="V67" i="1"/>
  <c r="I66" i="3"/>
  <c r="G71" i="3"/>
  <c r="V73" i="1"/>
  <c r="E76" i="3"/>
  <c r="C81" i="3"/>
  <c r="V83" i="1"/>
  <c r="I82" i="3"/>
  <c r="G87" i="3"/>
  <c r="V89" i="1"/>
  <c r="EH91" i="11"/>
  <c r="G91" i="11"/>
  <c r="G27" i="3"/>
  <c r="CU12" i="11"/>
  <c r="G33" i="3"/>
  <c r="C53" i="3"/>
  <c r="K53" i="3" s="1"/>
  <c r="V55" i="1"/>
  <c r="I54" i="3"/>
  <c r="G59" i="3"/>
  <c r="K59" i="3" s="1"/>
  <c r="V61" i="1"/>
  <c r="E64" i="3"/>
  <c r="C69" i="3"/>
  <c r="V71" i="1"/>
  <c r="I70" i="3"/>
  <c r="G75" i="3"/>
  <c r="V77" i="1"/>
  <c r="E80" i="3"/>
  <c r="V82" i="1"/>
  <c r="C85" i="3"/>
  <c r="V87" i="1"/>
  <c r="I86" i="3"/>
  <c r="C41" i="3"/>
  <c r="E52" i="3"/>
  <c r="C57" i="3"/>
  <c r="K57" i="3" s="1"/>
  <c r="V59" i="1"/>
  <c r="I58" i="3"/>
  <c r="K58" i="3" s="1"/>
  <c r="G63" i="3"/>
  <c r="V65" i="1"/>
  <c r="E68" i="3"/>
  <c r="C73" i="3"/>
  <c r="V75" i="1"/>
  <c r="I74" i="3"/>
  <c r="G79" i="3"/>
  <c r="V81" i="1"/>
  <c r="E84" i="3"/>
  <c r="V86" i="1"/>
  <c r="E51" i="3"/>
  <c r="K51" i="3" s="1"/>
  <c r="V53" i="1"/>
  <c r="U91" i="1"/>
  <c r="C10" i="3"/>
  <c r="I12" i="3"/>
  <c r="C14" i="3"/>
  <c r="I16" i="3"/>
  <c r="C18" i="3"/>
  <c r="I19" i="3"/>
  <c r="C23" i="3"/>
  <c r="I24" i="3"/>
  <c r="C26" i="3"/>
  <c r="I27" i="3"/>
  <c r="C29" i="3"/>
  <c r="C31" i="3"/>
  <c r="C33" i="3"/>
  <c r="C35" i="3"/>
  <c r="C37" i="3"/>
  <c r="C39" i="3"/>
  <c r="C43" i="3"/>
  <c r="C45" i="3"/>
  <c r="C47" i="3"/>
  <c r="I48" i="3"/>
  <c r="C50" i="3"/>
  <c r="E56" i="3"/>
  <c r="K56" i="3" s="1"/>
  <c r="C61" i="3"/>
  <c r="K61" i="3" s="1"/>
  <c r="V63" i="1"/>
  <c r="I62" i="3"/>
  <c r="G67" i="3"/>
  <c r="V69" i="1"/>
  <c r="E72" i="3"/>
  <c r="C77" i="3"/>
  <c r="V79" i="1"/>
  <c r="I78" i="3"/>
  <c r="G83" i="3"/>
  <c r="V85" i="1"/>
  <c r="G64" i="3"/>
  <c r="E65" i="3"/>
  <c r="I67" i="3"/>
  <c r="G68" i="3"/>
  <c r="E69" i="3"/>
  <c r="I71" i="3"/>
  <c r="G72" i="3"/>
  <c r="E73" i="3"/>
  <c r="I75" i="3"/>
  <c r="G76" i="3"/>
  <c r="E77" i="3"/>
  <c r="I79" i="3"/>
  <c r="G80" i="3"/>
  <c r="E81" i="3"/>
  <c r="I83" i="3"/>
  <c r="G84" i="3"/>
  <c r="E85" i="3"/>
  <c r="I87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C25" i="3"/>
  <c r="E54" i="3"/>
  <c r="G66" i="3"/>
  <c r="V54" i="1"/>
  <c r="V58" i="1"/>
  <c r="V62" i="1"/>
  <c r="V66" i="1"/>
  <c r="I64" i="3"/>
  <c r="G65" i="3"/>
  <c r="E66" i="3"/>
  <c r="V70" i="1"/>
  <c r="I68" i="3"/>
  <c r="G69" i="3"/>
  <c r="E70" i="3"/>
  <c r="V74" i="1"/>
  <c r="I72" i="3"/>
  <c r="G73" i="3"/>
  <c r="V78" i="1"/>
  <c r="I76" i="3"/>
  <c r="G77" i="3"/>
  <c r="E78" i="3"/>
  <c r="I80" i="3"/>
  <c r="G81" i="3"/>
  <c r="I84" i="3"/>
  <c r="G85" i="3"/>
  <c r="E86" i="3"/>
  <c r="E74" i="3"/>
  <c r="E63" i="3"/>
  <c r="I65" i="3"/>
  <c r="E67" i="3"/>
  <c r="I69" i="3"/>
  <c r="G70" i="3"/>
  <c r="E71" i="3"/>
  <c r="I73" i="3"/>
  <c r="G74" i="3"/>
  <c r="E75" i="3"/>
  <c r="I77" i="3"/>
  <c r="G78" i="3"/>
  <c r="E79" i="3"/>
  <c r="I81" i="3"/>
  <c r="G82" i="3"/>
  <c r="E83" i="3"/>
  <c r="I85" i="3"/>
  <c r="G86" i="3"/>
  <c r="E87" i="3"/>
  <c r="E82" i="3"/>
  <c r="A15" i="1"/>
  <c r="J53" i="1" l="1"/>
  <c r="M53" i="1" s="1"/>
  <c r="S52" i="1"/>
  <c r="E50" i="4" s="1"/>
  <c r="K50" i="4" s="1"/>
  <c r="DJ52" i="1"/>
  <c r="DI51" i="1"/>
  <c r="S51" i="1" s="1"/>
  <c r="E49" i="4" s="1"/>
  <c r="K49" i="4" s="1"/>
  <c r="K87" i="3"/>
  <c r="K52" i="3"/>
  <c r="M53" i="3" s="1"/>
  <c r="K82" i="3"/>
  <c r="K84" i="3"/>
  <c r="K63" i="3"/>
  <c r="K75" i="3"/>
  <c r="BE13" i="11"/>
  <c r="BG14" i="11"/>
  <c r="BE43" i="11"/>
  <c r="BG44" i="11"/>
  <c r="K71" i="3"/>
  <c r="K54" i="3"/>
  <c r="M55" i="3" s="1"/>
  <c r="K83" i="3"/>
  <c r="K67" i="3"/>
  <c r="M61" i="3"/>
  <c r="K79" i="3"/>
  <c r="K91" i="1"/>
  <c r="K68" i="3"/>
  <c r="M57" i="3"/>
  <c r="K62" i="3"/>
  <c r="K74" i="3"/>
  <c r="M75" i="3" s="1"/>
  <c r="M55" i="4"/>
  <c r="K78" i="3"/>
  <c r="K70" i="3"/>
  <c r="K86" i="3"/>
  <c r="M87" i="3" s="1"/>
  <c r="K66" i="3"/>
  <c r="M75" i="4"/>
  <c r="A16" i="1"/>
  <c r="M63" i="4"/>
  <c r="K72" i="3"/>
  <c r="I89" i="3"/>
  <c r="I97" i="4" s="1"/>
  <c r="K85" i="3"/>
  <c r="K81" i="3"/>
  <c r="C89" i="4"/>
  <c r="K64" i="3"/>
  <c r="CB47" i="1"/>
  <c r="G20" i="3"/>
  <c r="T91" i="1"/>
  <c r="K77" i="3"/>
  <c r="C89" i="3"/>
  <c r="C97" i="4" s="1"/>
  <c r="M59" i="3"/>
  <c r="M53" i="4"/>
  <c r="K76" i="3"/>
  <c r="K65" i="3"/>
  <c r="EV13" i="1"/>
  <c r="EX14" i="1"/>
  <c r="CB48" i="1"/>
  <c r="G35" i="3"/>
  <c r="M83" i="4"/>
  <c r="I89" i="4"/>
  <c r="K73" i="3"/>
  <c r="G30" i="3"/>
  <c r="K80" i="3"/>
  <c r="K69" i="3"/>
  <c r="G45" i="3"/>
  <c r="DI50" i="1"/>
  <c r="DJ51" i="1"/>
  <c r="DT67" i="11"/>
  <c r="DU68" i="11"/>
  <c r="CB16" i="1"/>
  <c r="J51" i="1" l="1"/>
  <c r="M51" i="1" s="1"/>
  <c r="S50" i="1"/>
  <c r="E48" i="4" s="1"/>
  <c r="K48" i="4" s="1"/>
  <c r="M63" i="3"/>
  <c r="E50" i="3"/>
  <c r="K50" i="3" s="1"/>
  <c r="M51" i="3" s="1"/>
  <c r="V52" i="1"/>
  <c r="M67" i="3"/>
  <c r="M85" i="3"/>
  <c r="M71" i="3"/>
  <c r="I98" i="4"/>
  <c r="C98" i="4"/>
  <c r="M83" i="3"/>
  <c r="M71" i="4"/>
  <c r="M69" i="3"/>
  <c r="M73" i="4"/>
  <c r="M85" i="4"/>
  <c r="M57" i="4"/>
  <c r="BE42" i="11"/>
  <c r="BG43" i="11"/>
  <c r="BE12" i="11"/>
  <c r="BG13" i="11"/>
  <c r="M79" i="3"/>
  <c r="M59" i="4"/>
  <c r="M67" i="4"/>
  <c r="M61" i="4"/>
  <c r="M81" i="3"/>
  <c r="M51" i="4"/>
  <c r="M87" i="4"/>
  <c r="G89" i="4"/>
  <c r="M69" i="4"/>
  <c r="M65" i="4"/>
  <c r="M77" i="4"/>
  <c r="EX13" i="1"/>
  <c r="EV12" i="1"/>
  <c r="M73" i="3"/>
  <c r="DJ50" i="1"/>
  <c r="DI49" i="1"/>
  <c r="S49" i="1" s="1"/>
  <c r="E47" i="4" s="1"/>
  <c r="K47" i="4" s="1"/>
  <c r="EI91" i="11"/>
  <c r="EG91" i="11"/>
  <c r="DT66" i="11"/>
  <c r="DU67" i="11"/>
  <c r="M77" i="3"/>
  <c r="M81" i="4"/>
  <c r="CB46" i="1"/>
  <c r="CB15" i="1"/>
  <c r="G89" i="3"/>
  <c r="G97" i="4" s="1"/>
  <c r="M65" i="3"/>
  <c r="M79" i="4"/>
  <c r="A17" i="1"/>
  <c r="V51" i="1" l="1"/>
  <c r="E49" i="3"/>
  <c r="K49" i="3" s="1"/>
  <c r="G98" i="4"/>
  <c r="BG12" i="11"/>
  <c r="BE41" i="11"/>
  <c r="BG42" i="11"/>
  <c r="CB45" i="1"/>
  <c r="DT65" i="11"/>
  <c r="DU66" i="11"/>
  <c r="M49" i="4"/>
  <c r="V50" i="1"/>
  <c r="E48" i="3"/>
  <c r="K48" i="3" s="1"/>
  <c r="EX12" i="1"/>
  <c r="CB14" i="1"/>
  <c r="DI48" i="1"/>
  <c r="DJ49" i="1"/>
  <c r="A18" i="1"/>
  <c r="S48" i="1" l="1"/>
  <c r="E46" i="4" s="1"/>
  <c r="K46" i="4" s="1"/>
  <c r="J49" i="1"/>
  <c r="M49" i="1" s="1"/>
  <c r="M49" i="3"/>
  <c r="BE40" i="11"/>
  <c r="BG41" i="11"/>
  <c r="A19" i="1"/>
  <c r="DJ48" i="1"/>
  <c r="DI47" i="1"/>
  <c r="S47" i="1" s="1"/>
  <c r="E45" i="4" s="1"/>
  <c r="K45" i="4" s="1"/>
  <c r="DU65" i="11"/>
  <c r="DT64" i="11"/>
  <c r="CB44" i="1"/>
  <c r="E47" i="3"/>
  <c r="K47" i="3" s="1"/>
  <c r="V49" i="1"/>
  <c r="CB13" i="1"/>
  <c r="CU91" i="11"/>
  <c r="CS91" i="11"/>
  <c r="BE39" i="11" l="1"/>
  <c r="BG40" i="11"/>
  <c r="CB12" i="1"/>
  <c r="CB43" i="1"/>
  <c r="DT63" i="11"/>
  <c r="DU64" i="11"/>
  <c r="E46" i="3"/>
  <c r="K46" i="3" s="1"/>
  <c r="M47" i="3" s="1"/>
  <c r="M47" i="4"/>
  <c r="V48" i="1"/>
  <c r="DI46" i="1"/>
  <c r="DJ47" i="1"/>
  <c r="A20" i="1"/>
  <c r="J47" i="1" l="1"/>
  <c r="M47" i="1" s="1"/>
  <c r="S46" i="1"/>
  <c r="E44" i="4" s="1"/>
  <c r="K44" i="4" s="1"/>
  <c r="BE38" i="11"/>
  <c r="BG39" i="11"/>
  <c r="DI45" i="1"/>
  <c r="S45" i="1" s="1"/>
  <c r="E43" i="4" s="1"/>
  <c r="K43" i="4" s="1"/>
  <c r="DJ46" i="1"/>
  <c r="CB42" i="1"/>
  <c r="E45" i="3"/>
  <c r="K45" i="3" s="1"/>
  <c r="V47" i="1"/>
  <c r="DT62" i="11"/>
  <c r="DU63" i="11"/>
  <c r="A21" i="1"/>
  <c r="BE37" i="11" l="1"/>
  <c r="BG38" i="11"/>
  <c r="E44" i="3"/>
  <c r="K44" i="3" s="1"/>
  <c r="M45" i="3" s="1"/>
  <c r="M45" i="4"/>
  <c r="V46" i="1"/>
  <c r="DU62" i="11"/>
  <c r="DT61" i="11"/>
  <c r="EV91" i="1"/>
  <c r="EX91" i="1"/>
  <c r="A22" i="1"/>
  <c r="CB41" i="1"/>
  <c r="DI44" i="1"/>
  <c r="DJ45" i="1"/>
  <c r="J45" i="1" l="1"/>
  <c r="M45" i="1" s="1"/>
  <c r="S44" i="1"/>
  <c r="E42" i="4" s="1"/>
  <c r="K42" i="4" s="1"/>
  <c r="BE36" i="11"/>
  <c r="BG37" i="11"/>
  <c r="A23" i="1"/>
  <c r="E43" i="3"/>
  <c r="K43" i="3" s="1"/>
  <c r="V45" i="1"/>
  <c r="CB40" i="1"/>
  <c r="DI43" i="1"/>
  <c r="S43" i="1" s="1"/>
  <c r="E41" i="4" s="1"/>
  <c r="K41" i="4" s="1"/>
  <c r="DJ44" i="1"/>
  <c r="DT60" i="11"/>
  <c r="DU61" i="11"/>
  <c r="BE35" i="11" l="1"/>
  <c r="BG36" i="11"/>
  <c r="DU60" i="11"/>
  <c r="DT59" i="11"/>
  <c r="CB39" i="1"/>
  <c r="DI42" i="1"/>
  <c r="DJ43" i="1"/>
  <c r="E42" i="3"/>
  <c r="K42" i="3" s="1"/>
  <c r="M43" i="3" s="1"/>
  <c r="M43" i="4"/>
  <c r="V44" i="1"/>
  <c r="A24" i="1"/>
  <c r="J43" i="1" l="1"/>
  <c r="M43" i="1" s="1"/>
  <c r="S42" i="1"/>
  <c r="E40" i="4" s="1"/>
  <c r="K40" i="4" s="1"/>
  <c r="BE34" i="11"/>
  <c r="BG35" i="11"/>
  <c r="CB38" i="1"/>
  <c r="DI41" i="1"/>
  <c r="S41" i="1" s="1"/>
  <c r="E39" i="4" s="1"/>
  <c r="K39" i="4" s="1"/>
  <c r="DJ42" i="1"/>
  <c r="DU59" i="11"/>
  <c r="DT58" i="11"/>
  <c r="A25" i="1"/>
  <c r="E41" i="3"/>
  <c r="K41" i="3" s="1"/>
  <c r="V43" i="1"/>
  <c r="BE33" i="11" l="1"/>
  <c r="BG34" i="11"/>
  <c r="E40" i="3"/>
  <c r="K40" i="3" s="1"/>
  <c r="M41" i="3" s="1"/>
  <c r="M41" i="4"/>
  <c r="V42" i="1"/>
  <c r="CB37" i="1"/>
  <c r="DU58" i="11"/>
  <c r="DT57" i="11"/>
  <c r="A26" i="1"/>
  <c r="DI40" i="1"/>
  <c r="DJ41" i="1"/>
  <c r="S40" i="1" l="1"/>
  <c r="E38" i="4" s="1"/>
  <c r="K38" i="4" s="1"/>
  <c r="J41" i="1"/>
  <c r="M41" i="1" s="1"/>
  <c r="BE32" i="11"/>
  <c r="BG33" i="11"/>
  <c r="A27" i="1"/>
  <c r="E39" i="3"/>
  <c r="K39" i="3" s="1"/>
  <c r="V41" i="1"/>
  <c r="DI39" i="1"/>
  <c r="S39" i="1" s="1"/>
  <c r="E37" i="4" s="1"/>
  <c r="K37" i="4" s="1"/>
  <c r="DJ40" i="1"/>
  <c r="DU57" i="11"/>
  <c r="DT56" i="11"/>
  <c r="CB36" i="1"/>
  <c r="BE31" i="11" l="1"/>
  <c r="BG32" i="11"/>
  <c r="DI38" i="1"/>
  <c r="DJ39" i="1"/>
  <c r="E38" i="3"/>
  <c r="K38" i="3" s="1"/>
  <c r="M39" i="3" s="1"/>
  <c r="M39" i="4"/>
  <c r="V40" i="1"/>
  <c r="CB35" i="1"/>
  <c r="DT55" i="11"/>
  <c r="DU56" i="11"/>
  <c r="A28" i="1"/>
  <c r="J39" i="1" l="1"/>
  <c r="M39" i="1" s="1"/>
  <c r="S38" i="1"/>
  <c r="E36" i="4" s="1"/>
  <c r="K36" i="4" s="1"/>
  <c r="BE30" i="11"/>
  <c r="BG31" i="11"/>
  <c r="A29" i="1"/>
  <c r="DU55" i="11"/>
  <c r="DT54" i="11"/>
  <c r="CB34" i="1"/>
  <c r="E37" i="3"/>
  <c r="K37" i="3" s="1"/>
  <c r="V39" i="1"/>
  <c r="DI37" i="1"/>
  <c r="S37" i="1" s="1"/>
  <c r="E35" i="4" s="1"/>
  <c r="K35" i="4" s="1"/>
  <c r="DJ38" i="1"/>
  <c r="BE29" i="11" l="1"/>
  <c r="BG30" i="11"/>
  <c r="CB33" i="1"/>
  <c r="C26" i="1"/>
  <c r="D26" i="1" s="1"/>
  <c r="A30" i="1"/>
  <c r="DI36" i="1"/>
  <c r="DJ37" i="1"/>
  <c r="DT53" i="11"/>
  <c r="DU54" i="11"/>
  <c r="E36" i="3"/>
  <c r="K36" i="3" s="1"/>
  <c r="M37" i="3" s="1"/>
  <c r="C25" i="1" s="1"/>
  <c r="D25" i="1" s="1"/>
  <c r="M37" i="4"/>
  <c r="V38" i="1"/>
  <c r="J37" i="1" l="1"/>
  <c r="M37" i="1" s="1"/>
  <c r="S36" i="1"/>
  <c r="E34" i="4" s="1"/>
  <c r="K34" i="4" s="1"/>
  <c r="BE28" i="11"/>
  <c r="BG29" i="11"/>
  <c r="DU53" i="11"/>
  <c r="DT52" i="11"/>
  <c r="DI35" i="1"/>
  <c r="S35" i="1" s="1"/>
  <c r="E33" i="4" s="1"/>
  <c r="K33" i="4" s="1"/>
  <c r="DJ36" i="1"/>
  <c r="A31" i="1"/>
  <c r="C27" i="1"/>
  <c r="D27" i="1" s="1"/>
  <c r="CB32" i="1"/>
  <c r="V37" i="1"/>
  <c r="E35" i="3"/>
  <c r="K35" i="3" s="1"/>
  <c r="BE27" i="11" l="1"/>
  <c r="BG28" i="11"/>
  <c r="CB31" i="1"/>
  <c r="DI34" i="1"/>
  <c r="DJ35" i="1"/>
  <c r="C28" i="1"/>
  <c r="D28" i="1" s="1"/>
  <c r="A32" i="1"/>
  <c r="DU52" i="11"/>
  <c r="DT51" i="11"/>
  <c r="E34" i="3"/>
  <c r="K34" i="3" s="1"/>
  <c r="M35" i="3" s="1"/>
  <c r="C24" i="1" s="1"/>
  <c r="D24" i="1" s="1"/>
  <c r="M35" i="4"/>
  <c r="V36" i="1"/>
  <c r="J35" i="1" l="1"/>
  <c r="M35" i="1" s="1"/>
  <c r="S34" i="1"/>
  <c r="E32" i="4" s="1"/>
  <c r="K32" i="4" s="1"/>
  <c r="BE26" i="11"/>
  <c r="BG27" i="11"/>
  <c r="E33" i="3"/>
  <c r="K33" i="3" s="1"/>
  <c r="V35" i="1"/>
  <c r="DT50" i="11"/>
  <c r="DU51" i="11"/>
  <c r="DI33" i="1"/>
  <c r="S33" i="1" s="1"/>
  <c r="E31" i="4" s="1"/>
  <c r="K31" i="4" s="1"/>
  <c r="DJ34" i="1"/>
  <c r="C29" i="1"/>
  <c r="D29" i="1" s="1"/>
  <c r="A33" i="1"/>
  <c r="CB30" i="1"/>
  <c r="BE25" i="11" l="1"/>
  <c r="BG26" i="11"/>
  <c r="DI32" i="1"/>
  <c r="DJ33" i="1"/>
  <c r="CB29" i="1"/>
  <c r="M33" i="4"/>
  <c r="E32" i="3"/>
  <c r="K32" i="3" s="1"/>
  <c r="M33" i="3" s="1"/>
  <c r="C23" i="1" s="1"/>
  <c r="D23" i="1" s="1"/>
  <c r="V34" i="1"/>
  <c r="C30" i="1"/>
  <c r="D30" i="1" s="1"/>
  <c r="A34" i="1"/>
  <c r="DT49" i="11"/>
  <c r="DU50" i="11"/>
  <c r="S32" i="1" l="1"/>
  <c r="E30" i="4" s="1"/>
  <c r="K30" i="4" s="1"/>
  <c r="J33" i="1"/>
  <c r="M33" i="1" s="1"/>
  <c r="BE24" i="11"/>
  <c r="BG25" i="11"/>
  <c r="E31" i="3"/>
  <c r="K31" i="3" s="1"/>
  <c r="V33" i="1"/>
  <c r="DU49" i="11"/>
  <c r="DT48" i="11"/>
  <c r="A35" i="1"/>
  <c r="C31" i="1"/>
  <c r="D31" i="1" s="1"/>
  <c r="CB28" i="1"/>
  <c r="DI31" i="1"/>
  <c r="S31" i="1" s="1"/>
  <c r="E29" i="4" s="1"/>
  <c r="K29" i="4" s="1"/>
  <c r="DJ32" i="1"/>
  <c r="BE23" i="11" l="1"/>
  <c r="BG24" i="11"/>
  <c r="C32" i="1"/>
  <c r="D32" i="1" s="1"/>
  <c r="A36" i="1"/>
  <c r="DI30" i="1"/>
  <c r="DJ31" i="1"/>
  <c r="CB27" i="1"/>
  <c r="E30" i="3"/>
  <c r="K30" i="3" s="1"/>
  <c r="M31" i="3" s="1"/>
  <c r="C22" i="1" s="1"/>
  <c r="D22" i="1" s="1"/>
  <c r="M31" i="4"/>
  <c r="V32" i="1"/>
  <c r="DU48" i="11"/>
  <c r="DT47" i="11"/>
  <c r="J31" i="1" l="1"/>
  <c r="M31" i="1" s="1"/>
  <c r="S30" i="1"/>
  <c r="E28" i="4" s="1"/>
  <c r="K28" i="4" s="1"/>
  <c r="BE22" i="11"/>
  <c r="BG23" i="11"/>
  <c r="DI29" i="1"/>
  <c r="S29" i="1" s="1"/>
  <c r="E27" i="4" s="1"/>
  <c r="K27" i="4" s="1"/>
  <c r="DJ30" i="1"/>
  <c r="DT46" i="11"/>
  <c r="DU47" i="11"/>
  <c r="CB26" i="1"/>
  <c r="C33" i="1"/>
  <c r="D33" i="1" s="1"/>
  <c r="A37" i="1"/>
  <c r="E29" i="3"/>
  <c r="K29" i="3" s="1"/>
  <c r="V31" i="1"/>
  <c r="BE21" i="11" l="1"/>
  <c r="BG22" i="11"/>
  <c r="C34" i="1"/>
  <c r="D34" i="1" s="1"/>
  <c r="A38" i="1"/>
  <c r="CB25" i="1"/>
  <c r="E28" i="3"/>
  <c r="K28" i="3" s="1"/>
  <c r="M29" i="3" s="1"/>
  <c r="C21" i="1" s="1"/>
  <c r="D21" i="1" s="1"/>
  <c r="M29" i="4"/>
  <c r="V30" i="1"/>
  <c r="DU46" i="11"/>
  <c r="DT45" i="11"/>
  <c r="DI28" i="1"/>
  <c r="DJ29" i="1"/>
  <c r="J29" i="1" l="1"/>
  <c r="M29" i="1" s="1"/>
  <c r="S28" i="1"/>
  <c r="E26" i="4" s="1"/>
  <c r="K26" i="4" s="1"/>
  <c r="BE20" i="11"/>
  <c r="BG20" i="11" s="1"/>
  <c r="BG21" i="11"/>
  <c r="E27" i="3"/>
  <c r="K27" i="3" s="1"/>
  <c r="V29" i="1"/>
  <c r="DT44" i="11"/>
  <c r="DU45" i="11"/>
  <c r="A39" i="1"/>
  <c r="C35" i="1"/>
  <c r="D35" i="1" s="1"/>
  <c r="DI27" i="1"/>
  <c r="S27" i="1" s="1"/>
  <c r="E25" i="4" s="1"/>
  <c r="K25" i="4" s="1"/>
  <c r="DJ28" i="1"/>
  <c r="CB24" i="1"/>
  <c r="BG91" i="11" l="1"/>
  <c r="E26" i="3"/>
  <c r="K26" i="3" s="1"/>
  <c r="M27" i="3" s="1"/>
  <c r="C20" i="1" s="1"/>
  <c r="D20" i="1" s="1"/>
  <c r="M27" i="4"/>
  <c r="V28" i="1"/>
  <c r="DT43" i="11"/>
  <c r="DU44" i="11"/>
  <c r="C36" i="1"/>
  <c r="D36" i="1" s="1"/>
  <c r="A40" i="1"/>
  <c r="DI26" i="1"/>
  <c r="DJ27" i="1"/>
  <c r="CB23" i="1"/>
  <c r="J27" i="1" l="1"/>
  <c r="M27" i="1" s="1"/>
  <c r="S26" i="1"/>
  <c r="E24" i="4" s="1"/>
  <c r="K24" i="4" s="1"/>
  <c r="BE91" i="11"/>
  <c r="DT42" i="11"/>
  <c r="DU43" i="11"/>
  <c r="CB22" i="1"/>
  <c r="DI25" i="1"/>
  <c r="S25" i="1" s="1"/>
  <c r="E23" i="4" s="1"/>
  <c r="K23" i="4" s="1"/>
  <c r="DJ26" i="1"/>
  <c r="E25" i="3"/>
  <c r="K25" i="3" s="1"/>
  <c r="V27" i="1"/>
  <c r="C37" i="1"/>
  <c r="D37" i="1" s="1"/>
  <c r="A41" i="1"/>
  <c r="DI24" i="1" l="1"/>
  <c r="DJ25" i="1"/>
  <c r="E24" i="3"/>
  <c r="K24" i="3" s="1"/>
  <c r="M25" i="3" s="1"/>
  <c r="C19" i="1" s="1"/>
  <c r="D19" i="1" s="1"/>
  <c r="M25" i="4"/>
  <c r="V26" i="1"/>
  <c r="CB21" i="1"/>
  <c r="C38" i="1"/>
  <c r="D38" i="1" s="1"/>
  <c r="A42" i="1"/>
  <c r="DU42" i="11"/>
  <c r="DT41" i="11"/>
  <c r="S24" i="1" l="1"/>
  <c r="E22" i="4" s="1"/>
  <c r="K22" i="4" s="1"/>
  <c r="J25" i="1"/>
  <c r="M25" i="1" s="1"/>
  <c r="A43" i="1"/>
  <c r="C39" i="1"/>
  <c r="D39" i="1" s="1"/>
  <c r="CB20" i="1"/>
  <c r="CB91" i="1" s="1"/>
  <c r="BY91" i="1"/>
  <c r="E23" i="3"/>
  <c r="K23" i="3" s="1"/>
  <c r="V25" i="1"/>
  <c r="DU41" i="11"/>
  <c r="DT40" i="11"/>
  <c r="DI23" i="1"/>
  <c r="S23" i="1" s="1"/>
  <c r="E21" i="4" s="1"/>
  <c r="K21" i="4" s="1"/>
  <c r="DJ24" i="1"/>
  <c r="DJ23" i="1" l="1"/>
  <c r="DI22" i="1"/>
  <c r="E22" i="3"/>
  <c r="K22" i="3" s="1"/>
  <c r="M23" i="3" s="1"/>
  <c r="C18" i="1" s="1"/>
  <c r="D18" i="1" s="1"/>
  <c r="M23" i="4"/>
  <c r="V24" i="1"/>
  <c r="DT39" i="11"/>
  <c r="DU40" i="11"/>
  <c r="C40" i="1"/>
  <c r="D40" i="1" s="1"/>
  <c r="A44" i="1"/>
  <c r="J23" i="1" l="1"/>
  <c r="M23" i="1" s="1"/>
  <c r="S22" i="1"/>
  <c r="E20" i="4" s="1"/>
  <c r="K20" i="4" s="1"/>
  <c r="C41" i="1"/>
  <c r="D41" i="1" s="1"/>
  <c r="A45" i="1"/>
  <c r="DT38" i="11"/>
  <c r="DU39" i="11"/>
  <c r="E21" i="3"/>
  <c r="K21" i="3" s="1"/>
  <c r="V23" i="1"/>
  <c r="DI21" i="1"/>
  <c r="S21" i="1" s="1"/>
  <c r="E19" i="4" s="1"/>
  <c r="K19" i="4" s="1"/>
  <c r="DJ22" i="1"/>
  <c r="DU38" i="11" l="1"/>
  <c r="DT37" i="11"/>
  <c r="E20" i="3"/>
  <c r="K20" i="3" s="1"/>
  <c r="M21" i="3" s="1"/>
  <c r="C17" i="1" s="1"/>
  <c r="D17" i="1" s="1"/>
  <c r="M21" i="4"/>
  <c r="V22" i="1"/>
  <c r="C42" i="1"/>
  <c r="D42" i="1" s="1"/>
  <c r="A46" i="1"/>
  <c r="DI20" i="1"/>
  <c r="DJ21" i="1"/>
  <c r="J21" i="1" l="1"/>
  <c r="M21" i="1" s="1"/>
  <c r="S20" i="1"/>
  <c r="E18" i="4" s="1"/>
  <c r="K18" i="4" s="1"/>
  <c r="DJ20" i="1"/>
  <c r="DI19" i="1"/>
  <c r="S19" i="1" s="1"/>
  <c r="E17" i="4" s="1"/>
  <c r="K17" i="4" s="1"/>
  <c r="DU37" i="11"/>
  <c r="DT36" i="11"/>
  <c r="E19" i="3"/>
  <c r="K19" i="3" s="1"/>
  <c r="V21" i="1"/>
  <c r="A47" i="1"/>
  <c r="C43" i="1"/>
  <c r="D43" i="1" s="1"/>
  <c r="E18" i="3" l="1"/>
  <c r="K18" i="3" s="1"/>
  <c r="M19" i="3" s="1"/>
  <c r="C16" i="1" s="1"/>
  <c r="D16" i="1" s="1"/>
  <c r="M19" i="4"/>
  <c r="V20" i="1"/>
  <c r="DT35" i="11"/>
  <c r="DU36" i="11"/>
  <c r="DI18" i="1"/>
  <c r="DJ19" i="1"/>
  <c r="C44" i="1"/>
  <c r="D44" i="1" s="1"/>
  <c r="A48" i="1"/>
  <c r="J19" i="1" l="1"/>
  <c r="M19" i="1" s="1"/>
  <c r="S18" i="1"/>
  <c r="E16" i="4" s="1"/>
  <c r="K16" i="4" s="1"/>
  <c r="DI17" i="1"/>
  <c r="S17" i="1" s="1"/>
  <c r="E15" i="4" s="1"/>
  <c r="K15" i="4" s="1"/>
  <c r="DJ18" i="1"/>
  <c r="E17" i="3"/>
  <c r="K17" i="3" s="1"/>
  <c r="V19" i="1"/>
  <c r="C45" i="1"/>
  <c r="D45" i="1" s="1"/>
  <c r="A49" i="1"/>
  <c r="DT34" i="11"/>
  <c r="DU35" i="11"/>
  <c r="DU34" i="11" l="1"/>
  <c r="DT33" i="11"/>
  <c r="E16" i="3"/>
  <c r="K16" i="3" s="1"/>
  <c r="M17" i="3" s="1"/>
  <c r="C15" i="1" s="1"/>
  <c r="D15" i="1" s="1"/>
  <c r="M17" i="4"/>
  <c r="V18" i="1"/>
  <c r="C46" i="1"/>
  <c r="D46" i="1" s="1"/>
  <c r="A50" i="1"/>
  <c r="DI16" i="1"/>
  <c r="DJ17" i="1"/>
  <c r="S16" i="1" l="1"/>
  <c r="E14" i="4" s="1"/>
  <c r="K14" i="4" s="1"/>
  <c r="J17" i="1"/>
  <c r="M17" i="1" s="1"/>
  <c r="DT32" i="11"/>
  <c r="DU33" i="11"/>
  <c r="DJ16" i="1"/>
  <c r="DI15" i="1"/>
  <c r="S15" i="1" s="1"/>
  <c r="E13" i="4" s="1"/>
  <c r="K13" i="4" s="1"/>
  <c r="E15" i="3"/>
  <c r="K15" i="3" s="1"/>
  <c r="V17" i="1"/>
  <c r="A51" i="1"/>
  <c r="C47" i="1"/>
  <c r="D47" i="1" s="1"/>
  <c r="C48" i="1" l="1"/>
  <c r="D48" i="1" s="1"/>
  <c r="A52" i="1"/>
  <c r="E14" i="3"/>
  <c r="K14" i="3" s="1"/>
  <c r="M15" i="3" s="1"/>
  <c r="C14" i="1" s="1"/>
  <c r="D14" i="1" s="1"/>
  <c r="M15" i="4"/>
  <c r="V16" i="1"/>
  <c r="DU32" i="11"/>
  <c r="DT31" i="11"/>
  <c r="DI14" i="1"/>
  <c r="DJ15" i="1"/>
  <c r="S14" i="1" l="1"/>
  <c r="J15" i="1"/>
  <c r="M15" i="1" s="1"/>
  <c r="C49" i="1"/>
  <c r="D49" i="1" s="1"/>
  <c r="A53" i="1"/>
  <c r="E13" i="3"/>
  <c r="K13" i="3" s="1"/>
  <c r="V15" i="1"/>
  <c r="DJ14" i="1"/>
  <c r="DT30" i="11"/>
  <c r="DU31" i="11"/>
  <c r="E12" i="4" l="1"/>
  <c r="K12" i="4" s="1"/>
  <c r="V14" i="1"/>
  <c r="DT29" i="11"/>
  <c r="DU30" i="11"/>
  <c r="DJ13" i="1"/>
  <c r="C50" i="1"/>
  <c r="D50" i="1" s="1"/>
  <c r="E12" i="3"/>
  <c r="K12" i="3" s="1"/>
  <c r="M13" i="3" s="1"/>
  <c r="C13" i="1" s="1"/>
  <c r="D13" i="1" s="1"/>
  <c r="M13" i="4"/>
  <c r="K10" i="4" l="1"/>
  <c r="E11" i="3"/>
  <c r="K11" i="3" s="1"/>
  <c r="DJ12" i="1"/>
  <c r="DU29" i="11"/>
  <c r="DT28" i="11"/>
  <c r="E10" i="3" l="1"/>
  <c r="K10" i="3" s="1"/>
  <c r="M11" i="3" s="1"/>
  <c r="C12" i="1" s="1"/>
  <c r="D12" i="1" s="1"/>
  <c r="M11" i="4"/>
  <c r="V12" i="1"/>
  <c r="V91" i="1" s="1"/>
  <c r="DT27" i="11"/>
  <c r="DU28" i="11"/>
  <c r="DT26" i="11" l="1"/>
  <c r="DU27" i="11"/>
  <c r="DT25" i="11" l="1"/>
  <c r="DU26" i="11"/>
  <c r="DJ91" i="1" l="1"/>
  <c r="DI91" i="1"/>
  <c r="DU25" i="11"/>
  <c r="DT24" i="11"/>
  <c r="DU24" i="11" l="1"/>
  <c r="DT23" i="11"/>
  <c r="M91" i="1"/>
  <c r="C2" i="1" s="1"/>
  <c r="J91" i="1"/>
  <c r="S91" i="1"/>
  <c r="V95" i="1"/>
  <c r="V96" i="1" s="1"/>
  <c r="E89" i="4" l="1"/>
  <c r="DT22" i="11"/>
  <c r="DU23" i="11"/>
  <c r="E89" i="3"/>
  <c r="E97" i="4" s="1"/>
  <c r="E98" i="4" l="1"/>
  <c r="DU22" i="11"/>
  <c r="DT21" i="11"/>
  <c r="K89" i="3"/>
  <c r="K97" i="4" s="1"/>
  <c r="M89" i="4"/>
  <c r="K89" i="4"/>
  <c r="K98" i="4" l="1"/>
  <c r="DT20" i="11"/>
  <c r="DU21" i="11"/>
  <c r="M89" i="3"/>
  <c r="DU20" i="11" l="1"/>
  <c r="DT19" i="11"/>
  <c r="M97" i="4"/>
  <c r="C3" i="1"/>
  <c r="DT18" i="11" l="1"/>
  <c r="DU19" i="11"/>
  <c r="DU18" i="11" l="1"/>
  <c r="DT17" i="11"/>
  <c r="DU17" i="11" l="1"/>
  <c r="DT16" i="11"/>
  <c r="DU16" i="11" l="1"/>
  <c r="DT15" i="11"/>
  <c r="DT14" i="11" l="1"/>
  <c r="DU15" i="11"/>
  <c r="DU14" i="11" l="1"/>
  <c r="DT13" i="11"/>
  <c r="DU13" i="11" l="1"/>
  <c r="DT12" i="11"/>
  <c r="I12" i="11" l="1"/>
  <c r="J13" i="11" s="1"/>
  <c r="J91" i="11" s="1"/>
  <c r="DU12" i="11"/>
  <c r="DT91" i="11" l="1"/>
  <c r="DU91" i="11"/>
  <c r="F91" i="11" l="1"/>
  <c r="I91" i="11" l="1"/>
</calcChain>
</file>

<file path=xl/sharedStrings.xml><?xml version="1.0" encoding="utf-8"?>
<sst xmlns="http://schemas.openxmlformats.org/spreadsheetml/2006/main" count="1301" uniqueCount="142">
  <si>
    <t>Par Amount</t>
  </si>
  <si>
    <t>Memo:</t>
  </si>
  <si>
    <t>MBE/WBE</t>
  </si>
  <si>
    <t>Amounts</t>
  </si>
  <si>
    <t>Discretionary</t>
  </si>
  <si>
    <t>WBE</t>
  </si>
  <si>
    <t>MBE</t>
  </si>
  <si>
    <t>Goldman, Sachs &amp; Co.</t>
  </si>
  <si>
    <t xml:space="preserve">    Total Takedown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</si>
  <si>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</si>
  <si>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</si>
  <si>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</si>
  <si>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</si>
  <si>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</si>
  <si>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</si>
  <si>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</si>
  <si>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TBD (Escrow Bidding Agent)</t>
  </si>
  <si>
    <t>Amalgamated Bank (Trustee)</t>
  </si>
  <si>
    <t>MPEA Misc Expenses</t>
  </si>
  <si>
    <t xml:space="preserve">    Total Cost Of Issuance</t>
  </si>
  <si>
    <t>Costs of Issuance less Underwriter's fees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</si>
  <si>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</si>
  <si>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</si>
  <si>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</si>
  <si>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</si>
  <si>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</si>
  <si>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</si>
  <si>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</si>
  <si>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</si>
  <si>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</si>
  <si>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</si>
  <si>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</si>
  <si>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</si>
  <si>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</si>
  <si>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</si>
  <si>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</si>
  <si>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</si>
  <si>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</si>
  <si>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</si>
  <si>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</si>
  <si>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</si>
  <si>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</si>
  <si>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</si>
  <si>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</si>
  <si>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</si>
  <si>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</si>
  <si>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</si>
  <si>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</si>
  <si>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</si>
  <si>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</si>
  <si>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</si>
  <si>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</si>
  <si>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</si>
  <si>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</si>
  <si>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</si>
  <si>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</si>
  <si>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</si>
  <si>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</si>
  <si>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</si>
  <si>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</si>
  <si>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</si>
  <si>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</si>
  <si>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</si>
  <si>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</si>
  <si>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</si>
  <si>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</si>
  <si>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</si>
  <si>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</si>
  <si>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</si>
  <si>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</si>
  <si>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</si>
  <si>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</si>
  <si>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</si>
  <si>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</si>
  <si>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</si>
  <si>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Total Outstanding Debt Service</t>
  </si>
  <si>
    <t>2017A</t>
  </si>
  <si>
    <t>2017B</t>
  </si>
  <si>
    <t>2015A</t>
  </si>
  <si>
    <t>2015B</t>
  </si>
  <si>
    <t>2012A</t>
  </si>
  <si>
    <t>2012B</t>
  </si>
  <si>
    <t>2002A</t>
  </si>
  <si>
    <t>2002B</t>
  </si>
  <si>
    <t>1999D</t>
  </si>
  <si>
    <t>1998A</t>
  </si>
  <si>
    <t>1998B</t>
  </si>
  <si>
    <t>1996A</t>
  </si>
  <si>
    <t>1994A</t>
  </si>
  <si>
    <t>1994B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</si>
  <si>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</si>
  <si>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</si>
  <si>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</si>
  <si>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</si>
  <si>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</si>
  <si>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</si>
  <si>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</si>
  <si>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2020A</t>
  </si>
  <si>
    <t>Final Cost Of Issuance</t>
  </si>
  <si>
    <t>Total</t>
  </si>
  <si>
    <t>Amount</t>
  </si>
  <si>
    <t xml:space="preserve"> </t>
  </si>
  <si>
    <t>Expansion Project Bonds, 2020B</t>
  </si>
  <si>
    <t>Expansion Project Bonds, 2020C (Taxable)</t>
  </si>
  <si>
    <t>Expansion Project Bonds, 2020D (Taxable)</t>
  </si>
  <si>
    <t>Samuel Klein and Company (Verification Agent)</t>
  </si>
  <si>
    <t>2020B</t>
  </si>
  <si>
    <t>2020C</t>
  </si>
  <si>
    <t>2020D</t>
  </si>
  <si>
    <t>Expansion Project Bonds, 2021A</t>
  </si>
  <si>
    <t>Expansion Project Bonds, 2020C</t>
  </si>
  <si>
    <t>Expansion Project Bonds, 2020D</t>
  </si>
  <si>
    <t>Chapman and Cutler LLP (Underwriter's Counsel)</t>
  </si>
  <si>
    <t>Zions Bank (Escrow Trustee)</t>
  </si>
  <si>
    <t>MPEA 2022A Expansion Project Bond Deal</t>
  </si>
  <si>
    <t>Series 2022A</t>
  </si>
  <si>
    <t>Citigroup</t>
  </si>
  <si>
    <t>Morgan Stanley</t>
  </si>
  <si>
    <t>Loop Capital Markets</t>
  </si>
  <si>
    <t>Cabrera Capital Markets, LLC</t>
  </si>
  <si>
    <t>Siebert Williams Shank &amp; Co.</t>
  </si>
  <si>
    <t>Stern Brothers</t>
  </si>
  <si>
    <t>Internet Roadshow</t>
  </si>
  <si>
    <t>Dalcomp / Ipreo Order Monitoring</t>
  </si>
  <si>
    <t>Continuing Disclosure Review</t>
  </si>
  <si>
    <t>Travel/Misc</t>
  </si>
  <si>
    <t>Image Master (Print/Roadshow)</t>
  </si>
  <si>
    <t>Deloitte (Auditor Consent)</t>
  </si>
  <si>
    <t>S&amp;P</t>
  </si>
  <si>
    <t>Fitch</t>
  </si>
  <si>
    <t>Kroll</t>
  </si>
  <si>
    <t>Series 2022A Expansion Project Bonds</t>
  </si>
  <si>
    <t>**</t>
  </si>
  <si>
    <t>**CAB &amp; CIB</t>
  </si>
  <si>
    <t>(After Series 2022A Expansion Project Bond Issuance)</t>
  </si>
  <si>
    <t>Expansion Project Bonds, 2022A</t>
  </si>
  <si>
    <t>2022A</t>
  </si>
  <si>
    <t>6/21 Int</t>
  </si>
  <si>
    <t>Gross</t>
  </si>
  <si>
    <t>FY23 MPEA Expansion Project Bonds Debt Service</t>
  </si>
  <si>
    <t>FY22 MPEA Expansion Project Bonds Debt Service</t>
  </si>
  <si>
    <t>2021A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</si>
</sst>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_(* #,##0_);_(* \(#,##0\);_(* &quot;-&quot;??_);_(@_)"/>
    <numFmt numFmtId="170" formatCode="m/d/yyyy\ h:mm\ AM/PM"/>
    <numFmt numFmtId="171" formatCode="_(* #,##0.0000_);_(* \(#,##0.0000\);_(* &quot;-&quot;??_);_(@_)"/>
    <numFmt numFmtId="172" formatCode="&quot;$&quot;#,##0.000"/>
    <numFmt numFmtId="173" formatCode="_(* #,##0.0_);_(* \(#,##0.0\);_(* &quot;-&quot;??_);_(@_)"/>
  </numFmts>
  <fonts count="42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sz val="10"/>
      <color theme="0"/>
      <name val="Times New Roman"/>
      <family val="1"/>
    </font>
    <font>
      <u/>
      <sz val="10"/>
      <name val="Arial"/>
      <family val="2"/>
    </font>
    <font>
      <sz val="9"/>
      <color indexed="22"/>
      <name val="Times New Roman"/>
      <family val="1"/>
    </font>
    <font>
      <u/>
      <sz val="10"/>
      <name val="Times New Roman"/>
      <family val="1"/>
    </font>
    <font>
      <b/>
      <u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u val="singleAccounting"/>
      <sz val="11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0" fontId="10" fillId="0" borderId="0" xfId="0" applyFont="1" applyBorder="1"/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/>
    <xf numFmtId="164" fontId="16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19" fillId="0" borderId="0" xfId="0" applyFont="1" applyFill="1" applyBorder="1"/>
    <xf numFmtId="4" fontId="12" fillId="2" borderId="6" xfId="0" applyNumberFormat="1" applyFont="1" applyFill="1" applyBorder="1"/>
    <xf numFmtId="4" fontId="12" fillId="2" borderId="7" xfId="0" applyNumberFormat="1" applyFont="1" applyFill="1" applyBorder="1"/>
    <xf numFmtId="0" fontId="20" fillId="0" borderId="0" xfId="0" applyFont="1"/>
    <xf numFmtId="0" fontId="21" fillId="0" borderId="1" xfId="0" applyFont="1" applyFill="1" applyBorder="1"/>
    <xf numFmtId="0" fontId="12" fillId="0" borderId="1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2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right"/>
    </xf>
    <xf numFmtId="0" fontId="22" fillId="0" borderId="8" xfId="0" applyFont="1" applyFill="1" applyBorder="1"/>
    <xf numFmtId="4" fontId="22" fillId="0" borderId="8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4" fontId="23" fillId="0" borderId="0" xfId="0" applyNumberFormat="1" applyFont="1" applyFill="1" applyBorder="1"/>
    <xf numFmtId="10" fontId="12" fillId="0" borderId="0" xfId="0" applyNumberFormat="1" applyFont="1" applyFill="1" applyBorder="1"/>
    <xf numFmtId="6" fontId="24" fillId="0" borderId="0" xfId="0" applyNumberFormat="1" applyFont="1" applyFill="1" applyBorder="1"/>
    <xf numFmtId="10" fontId="24" fillId="0" borderId="0" xfId="0" applyNumberFormat="1" applyFont="1" applyFill="1" applyBorder="1"/>
    <xf numFmtId="14" fontId="24" fillId="0" borderId="0" xfId="0" applyNumberFormat="1" applyFont="1" applyFill="1" applyBorder="1"/>
    <xf numFmtId="0" fontId="24" fillId="0" borderId="0" xfId="0" applyFont="1" applyFill="1" applyBorder="1"/>
    <xf numFmtId="8" fontId="24" fillId="0" borderId="0" xfId="0" applyNumberFormat="1" applyFont="1" applyFill="1" applyBorder="1"/>
    <xf numFmtId="4" fontId="24" fillId="0" borderId="0" xfId="0" applyNumberFormat="1" applyFont="1" applyFill="1" applyBorder="1"/>
    <xf numFmtId="10" fontId="20" fillId="0" borderId="0" xfId="0" applyNumberFormat="1" applyFont="1"/>
    <xf numFmtId="14" fontId="22" fillId="0" borderId="4" xfId="0" applyNumberFormat="1" applyFont="1" applyFill="1" applyBorder="1" applyAlignment="1">
      <alignment horizontal="left"/>
    </xf>
    <xf numFmtId="4" fontId="22" fillId="0" borderId="4" xfId="0" applyNumberFormat="1" applyFont="1" applyFill="1" applyBorder="1"/>
    <xf numFmtId="1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14" fontId="22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NumberFormat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16" fillId="0" borderId="0" xfId="0" applyFont="1" applyFill="1" applyBorder="1" applyAlignment="1">
      <alignment horizontal="centerContinuous"/>
    </xf>
    <xf numFmtId="0" fontId="26" fillId="0" borderId="0" xfId="0" applyFont="1" applyFill="1" applyBorder="1"/>
    <xf numFmtId="14" fontId="26" fillId="0" borderId="0" xfId="0" applyNumberFormat="1" applyFont="1" applyFill="1" applyBorder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/>
    <xf numFmtId="10" fontId="12" fillId="0" borderId="0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10" fontId="12" fillId="0" borderId="1" xfId="4" applyNumberFormat="1" applyFont="1" applyFill="1" applyBorder="1"/>
    <xf numFmtId="10" fontId="22" fillId="0" borderId="0" xfId="4" applyNumberFormat="1" applyFont="1" applyFill="1" applyBorder="1"/>
    <xf numFmtId="10" fontId="20" fillId="0" borderId="0" xfId="4" applyNumberFormat="1" applyFont="1" applyBorder="1"/>
    <xf numFmtId="10" fontId="22" fillId="0" borderId="8" xfId="4" applyNumberFormat="1" applyFont="1" applyFill="1" applyBorder="1" applyAlignment="1">
      <alignment horizontal="right"/>
    </xf>
    <xf numFmtId="10" fontId="22" fillId="0" borderId="0" xfId="4" applyNumberFormat="1" applyFont="1" applyFill="1" applyBorder="1" applyAlignment="1">
      <alignment horizontal="right"/>
    </xf>
    <xf numFmtId="10" fontId="22" fillId="0" borderId="4" xfId="4" applyNumberFormat="1" applyFont="1" applyFill="1" applyBorder="1"/>
    <xf numFmtId="10" fontId="22" fillId="0" borderId="1" xfId="4" applyNumberFormat="1" applyFont="1" applyFill="1" applyBorder="1"/>
    <xf numFmtId="10" fontId="20" fillId="0" borderId="0" xfId="4" applyNumberFormat="1" applyFont="1"/>
    <xf numFmtId="10" fontId="12" fillId="0" borderId="0" xfId="4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Continuous"/>
    </xf>
    <xf numFmtId="164" fontId="27" fillId="0" borderId="0" xfId="0" applyNumberFormat="1" applyFont="1" applyFill="1" applyBorder="1" applyAlignment="1">
      <alignment horizontal="centerContinuous"/>
    </xf>
    <xf numFmtId="0" fontId="27" fillId="0" borderId="0" xfId="0" applyFont="1" applyFill="1" applyBorder="1" applyAlignment="1">
      <alignment horizontal="centerContinuous"/>
    </xf>
    <xf numFmtId="0" fontId="27" fillId="0" borderId="0" xfId="0" applyFont="1" applyFill="1" applyBorder="1" applyAlignment="1"/>
    <xf numFmtId="43" fontId="27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 applyFill="1" applyBorder="1"/>
    <xf numFmtId="14" fontId="28" fillId="0" borderId="0" xfId="0" applyNumberFormat="1" applyFont="1" applyBorder="1" applyAlignment="1">
      <alignment horizontal="left"/>
    </xf>
    <xf numFmtId="167" fontId="4" fillId="0" borderId="0" xfId="4" applyNumberFormat="1" applyFont="1" applyFill="1" applyBorder="1" applyAlignment="1">
      <alignment horizontal="center"/>
    </xf>
    <xf numFmtId="164" fontId="29" fillId="0" borderId="0" xfId="0" applyNumberFormat="1" applyFont="1" applyFill="1" applyBorder="1" applyAlignment="1">
      <alignment horizontal="centerContinuous"/>
    </xf>
    <xf numFmtId="0" fontId="29" fillId="0" borderId="0" xfId="0" applyFont="1" applyFill="1" applyBorder="1" applyAlignment="1">
      <alignment horizontal="centerContinuous"/>
    </xf>
    <xf numFmtId="0" fontId="29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Continuous"/>
    </xf>
    <xf numFmtId="4" fontId="12" fillId="0" borderId="2" xfId="0" applyNumberFormat="1" applyFont="1" applyFill="1" applyBorder="1"/>
    <xf numFmtId="0" fontId="19" fillId="0" borderId="0" xfId="0" applyFont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0" fontId="19" fillId="0" borderId="0" xfId="0" applyNumberFormat="1" applyFont="1"/>
    <xf numFmtId="10" fontId="19" fillId="0" borderId="0" xfId="4" applyNumberFormat="1" applyFont="1"/>
    <xf numFmtId="10" fontId="12" fillId="0" borderId="0" xfId="4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right"/>
    </xf>
    <xf numFmtId="0" fontId="35" fillId="0" borderId="0" xfId="0" applyFont="1"/>
    <xf numFmtId="168" fontId="35" fillId="0" borderId="0" xfId="0" applyNumberFormat="1" applyFont="1"/>
    <xf numFmtId="0" fontId="36" fillId="0" borderId="0" xfId="0" applyFont="1" applyAlignment="1">
      <alignment horizontal="right"/>
    </xf>
    <xf numFmtId="165" fontId="31" fillId="0" borderId="0" xfId="0" applyNumberFormat="1" applyFont="1"/>
    <xf numFmtId="0" fontId="37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1" fillId="0" borderId="0" xfId="0" applyFont="1" applyAlignment="1">
      <alignment horizontal="left"/>
    </xf>
    <xf numFmtId="4" fontId="31" fillId="0" borderId="0" xfId="0" applyNumberFormat="1" applyFont="1"/>
    <xf numFmtId="10" fontId="31" fillId="0" borderId="0" xfId="4" applyNumberFormat="1" applyFont="1" applyFill="1" applyBorder="1" applyAlignment="1">
      <alignment horizontal="center"/>
    </xf>
    <xf numFmtId="43" fontId="31" fillId="0" borderId="0" xfId="0" applyNumberFormat="1" applyFont="1"/>
    <xf numFmtId="169" fontId="31" fillId="0" borderId="0" xfId="5" applyNumberFormat="1" applyFont="1"/>
    <xf numFmtId="167" fontId="31" fillId="0" borderId="0" xfId="4" applyNumberFormat="1" applyFont="1" applyFill="1" applyBorder="1" applyAlignment="1">
      <alignment horizontal="center"/>
    </xf>
    <xf numFmtId="4" fontId="31" fillId="0" borderId="2" xfId="0" applyNumberFormat="1" applyFont="1" applyBorder="1"/>
    <xf numFmtId="168" fontId="31" fillId="0" borderId="0" xfId="0" applyNumberFormat="1" applyFont="1"/>
    <xf numFmtId="166" fontId="31" fillId="0" borderId="0" xfId="4" applyNumberFormat="1" applyFont="1" applyFill="1"/>
    <xf numFmtId="172" fontId="31" fillId="0" borderId="0" xfId="0" applyNumberFormat="1" applyFont="1" applyAlignment="1">
      <alignment horizontal="right"/>
    </xf>
    <xf numFmtId="44" fontId="31" fillId="0" borderId="0" xfId="6" applyFont="1"/>
    <xf numFmtId="4" fontId="31" fillId="0" borderId="0" xfId="0" applyNumberFormat="1" applyFont="1" applyAlignment="1">
      <alignment horizontal="right"/>
    </xf>
    <xf numFmtId="4" fontId="31" fillId="4" borderId="0" xfId="0" applyNumberFormat="1" applyFont="1" applyFill="1" applyAlignment="1">
      <alignment horizontal="right"/>
    </xf>
    <xf numFmtId="165" fontId="31" fillId="0" borderId="0" xfId="0" applyNumberFormat="1" applyFont="1" applyAlignment="1">
      <alignment horizontal="center"/>
    </xf>
    <xf numFmtId="165" fontId="31" fillId="0" borderId="0" xfId="4" applyNumberFormat="1" applyFont="1"/>
    <xf numFmtId="10" fontId="31" fillId="0" borderId="0" xfId="4" applyNumberFormat="1" applyFont="1"/>
    <xf numFmtId="4" fontId="31" fillId="0" borderId="2" xfId="0" applyNumberFormat="1" applyFont="1" applyBorder="1" applyAlignment="1">
      <alignment horizontal="right"/>
    </xf>
    <xf numFmtId="4" fontId="31" fillId="4" borderId="2" xfId="0" applyNumberFormat="1" applyFont="1" applyFill="1" applyBorder="1" applyAlignment="1">
      <alignment horizontal="right"/>
    </xf>
    <xf numFmtId="165" fontId="35" fillId="0" borderId="0" xfId="0" applyNumberFormat="1" applyFont="1"/>
    <xf numFmtId="4" fontId="38" fillId="0" borderId="0" xfId="0" applyNumberFormat="1" applyFont="1" applyAlignment="1">
      <alignment horizontal="right"/>
    </xf>
    <xf numFmtId="169" fontId="38" fillId="0" borderId="0" xfId="5" applyNumberFormat="1" applyFont="1" applyFill="1" applyBorder="1" applyAlignment="1" applyProtection="1">
      <alignment horizontal="center"/>
    </xf>
    <xf numFmtId="4" fontId="38" fillId="0" borderId="0" xfId="0" applyNumberFormat="1" applyFont="1" applyAlignment="1">
      <alignment horizontal="center"/>
    </xf>
    <xf numFmtId="165" fontId="31" fillId="0" borderId="0" xfId="6" applyNumberFormat="1" applyFont="1"/>
    <xf numFmtId="10" fontId="31" fillId="0" borderId="0" xfId="4" applyNumberFormat="1" applyFont="1" applyFill="1" applyAlignment="1">
      <alignment horizontal="center"/>
    </xf>
    <xf numFmtId="44" fontId="31" fillId="0" borderId="0" xfId="0" applyNumberFormat="1" applyFont="1"/>
    <xf numFmtId="4" fontId="35" fillId="0" borderId="0" xfId="0" applyNumberFormat="1" applyFont="1" applyAlignment="1">
      <alignment horizontal="right"/>
    </xf>
    <xf numFmtId="4" fontId="35" fillId="0" borderId="2" xfId="0" applyNumberFormat="1" applyFont="1" applyBorder="1" applyAlignment="1">
      <alignment horizontal="right"/>
    </xf>
    <xf numFmtId="165" fontId="31" fillId="0" borderId="5" xfId="0" applyNumberFormat="1" applyFont="1" applyBorder="1"/>
    <xf numFmtId="10" fontId="31" fillId="0" borderId="0" xfId="4" applyNumberFormat="1" applyFont="1" applyFill="1"/>
    <xf numFmtId="9" fontId="31" fillId="0" borderId="0" xfId="0" applyNumberFormat="1" applyFont="1"/>
    <xf numFmtId="44" fontId="35" fillId="0" borderId="0" xfId="6" applyFont="1"/>
    <xf numFmtId="165" fontId="39" fillId="0" borderId="0" xfId="0" applyNumberFormat="1" applyFont="1"/>
    <xf numFmtId="44" fontId="31" fillId="0" borderId="0" xfId="6" applyFont="1" applyAlignment="1">
      <alignment horizontal="center"/>
    </xf>
    <xf numFmtId="170" fontId="31" fillId="0" borderId="0" xfId="0" applyNumberFormat="1" applyFont="1" applyAlignment="1">
      <alignment horizontal="left"/>
    </xf>
    <xf numFmtId="169" fontId="31" fillId="0" borderId="0" xfId="5" applyNumberFormat="1" applyFont="1" applyFill="1" applyBorder="1"/>
    <xf numFmtId="171" fontId="31" fillId="0" borderId="0" xfId="5" applyNumberFormat="1" applyFont="1"/>
    <xf numFmtId="43" fontId="40" fillId="0" borderId="0" xfId="1" applyFont="1" applyFill="1" applyBorder="1"/>
    <xf numFmtId="43" fontId="12" fillId="0" borderId="0" xfId="0" applyNumberFormat="1" applyFont="1" applyFill="1" applyBorder="1"/>
    <xf numFmtId="173" fontId="12" fillId="0" borderId="0" xfId="1" applyNumberFormat="1" applyFont="1" applyFill="1" applyBorder="1"/>
    <xf numFmtId="43" fontId="12" fillId="0" borderId="0" xfId="1" applyNumberFormat="1" applyFont="1" applyFill="1" applyBorder="1"/>
    <xf numFmtId="0" fontId="12" fillId="0" borderId="0" xfId="0" quotePrefix="1" applyFont="1" applyFill="1" applyBorder="1"/>
    <xf numFmtId="4" fontId="22" fillId="0" borderId="0" xfId="0" quotePrefix="1" applyNumberFormat="1" applyFont="1" applyFill="1" applyBorder="1"/>
    <xf numFmtId="166" fontId="31" fillId="0" borderId="0" xfId="4" applyNumberFormat="1" applyFont="1"/>
    <xf numFmtId="4" fontId="41" fillId="0" borderId="0" xfId="3" applyNumberFormat="1" applyFont="1" applyFill="1"/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9" fillId="0" borderId="0" xfId="0" applyFont="1" applyAlignment="1">
      <alignment horizontal="centerContinuous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2" fillId="0" borderId="8" xfId="0" applyFont="1" applyBorder="1" applyAlignment="1">
      <alignment horizontal="left"/>
    </xf>
    <xf numFmtId="0" fontId="22" fillId="0" borderId="8" xfId="0" applyFont="1" applyBorder="1" applyAlignment="1">
      <alignment horizontal="right"/>
    </xf>
    <xf numFmtId="14" fontId="12" fillId="0" borderId="0" xfId="0" applyNumberFormat="1" applyFont="1" applyAlignment="1">
      <alignment horizontal="left"/>
    </xf>
    <xf numFmtId="4" fontId="12" fillId="0" borderId="0" xfId="0" applyNumberFormat="1" applyFont="1"/>
    <xf numFmtId="10" fontId="12" fillId="0" borderId="0" xfId="0" applyNumberFormat="1" applyFont="1"/>
    <xf numFmtId="10" fontId="12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170" fontId="12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left"/>
    </xf>
    <xf numFmtId="0" fontId="0" fillId="0" borderId="0" xfId="0" applyAlignment="1"/>
  </cellXfs>
  <cellStyles count="7">
    <cellStyle name="Comma" xfId="1" builtinId="3"/>
    <cellStyle name="Comma 2" xfId="5" xr:uid="{F9B9F2E8-73F3-4F1B-B389-EAB295E8B54C}"/>
    <cellStyle name="Currency" xfId="2" builtinId="4"/>
    <cellStyle name="Currency 2" xfId="6" xr:uid="{D5C5A176-01F1-46A1-B85E-021926A818EF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easury\Jason\Debt\Series%202021A-2022A%20Expansion%20Bonds\MPEA%20Series%202021A-22A%20%20COI%200317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easury\Jason\Debt\Series%202021A-2022A%20Expansion%20Bonds\MPEASeries2021AExpansionProjectStateBondDisclo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"/>
      <sheetName val="Ser2021A"/>
      <sheetName val="Ser2022A"/>
      <sheetName val="2017UW"/>
      <sheetName val="2015UW"/>
      <sheetName val="COI (3)"/>
      <sheetName val="Total Debt"/>
      <sheetName val="2015AB"/>
      <sheetName val="Prior"/>
      <sheetName val="Series Detail"/>
      <sheetName val="FY2016"/>
    </sheetNames>
    <sheetDataSet>
      <sheetData sheetId="0"/>
      <sheetData sheetId="1">
        <row r="1">
          <cell r="A1" t="str">
            <v>MPEA 2021A Expansion Project Bond Deal</v>
          </cell>
          <cell r="B1"/>
        </row>
        <row r="2">
          <cell r="A2" t="str">
            <v>Final Cost Of Issuance</v>
          </cell>
          <cell r="B2"/>
        </row>
        <row r="4">
          <cell r="A4" t="str">
            <v>Par Amount</v>
          </cell>
          <cell r="B4">
            <v>147905000</v>
          </cell>
        </row>
        <row r="7">
          <cell r="A7"/>
          <cell r="B7"/>
        </row>
        <row r="8">
          <cell r="B8" t="str">
            <v>Series 2021A</v>
          </cell>
        </row>
        <row r="9">
          <cell r="B9"/>
        </row>
        <row r="10">
          <cell r="A10" t="str">
            <v>Goldman, Sachs &amp; Co.</v>
          </cell>
          <cell r="B10">
            <v>147905</v>
          </cell>
        </row>
        <row r="11">
          <cell r="A11"/>
          <cell r="B11"/>
        </row>
        <row r="12">
          <cell r="A12" t="str">
            <v xml:space="preserve">    Total Takedown</v>
          </cell>
          <cell r="B12">
            <v>147905</v>
          </cell>
        </row>
        <row r="13">
          <cell r="B13"/>
        </row>
        <row r="14">
          <cell r="A14" t="str">
            <v>Chapman and Cutler LLP (Underwriter's Counsel)</v>
          </cell>
          <cell r="B14">
            <v>25000</v>
          </cell>
        </row>
        <row r="15">
          <cell r="A15" t="str">
            <v>DTC</v>
          </cell>
          <cell r="B15">
            <v>350</v>
          </cell>
        </row>
        <row r="16">
          <cell r="A16" t="str">
            <v>CUSIP Fee</v>
          </cell>
          <cell r="B16">
            <v>287</v>
          </cell>
        </row>
        <row r="17">
          <cell r="B17"/>
        </row>
        <row r="18">
          <cell r="A18" t="str">
            <v xml:space="preserve">    Total Underwriter's fees</v>
          </cell>
          <cell r="B18">
            <v>173542</v>
          </cell>
        </row>
        <row r="19">
          <cell r="B19"/>
        </row>
        <row r="20">
          <cell r="A20" t="str">
            <v>Katten Muchin Rosenmann (Bond Counsel)</v>
          </cell>
          <cell r="B20">
            <v>79162</v>
          </cell>
        </row>
        <row r="21">
          <cell r="A21" t="str">
            <v>Burke Burns &amp; Pinelli (Issuer's Counsel)</v>
          </cell>
          <cell r="B21">
            <v>32500</v>
          </cell>
        </row>
        <row r="22">
          <cell r="A22" t="str">
            <v>Charity &amp; Associates (Disclosure Counsel)</v>
          </cell>
          <cell r="B22">
            <v>30000</v>
          </cell>
        </row>
        <row r="23">
          <cell r="A23" t="str">
            <v>PFM Financial (Financial Advisor)</v>
          </cell>
          <cell r="B23">
            <v>50000</v>
          </cell>
        </row>
        <row r="24">
          <cell r="A24" t="str">
            <v>TBD (Escrow Bidding Agent)</v>
          </cell>
          <cell r="B24"/>
        </row>
        <row r="25">
          <cell r="A25" t="str">
            <v>Amalgamated Bank (Trustee)</v>
          </cell>
          <cell r="B25">
            <v>8700</v>
          </cell>
        </row>
        <row r="26">
          <cell r="A26" t="str">
            <v>Zions Bank (Escrow Trustee)</v>
          </cell>
          <cell r="B26">
            <v>1000</v>
          </cell>
        </row>
        <row r="27">
          <cell r="A27" t="str">
            <v>Image Master (Print/Roadshow)</v>
          </cell>
          <cell r="B27">
            <v>0</v>
          </cell>
        </row>
        <row r="28">
          <cell r="A28" t="str">
            <v>Samuel Klein and Company (Verification Agent)</v>
          </cell>
          <cell r="B28">
            <v>1500</v>
          </cell>
        </row>
        <row r="29">
          <cell r="A29" t="str">
            <v>MPEA Misc Expenses</v>
          </cell>
          <cell r="B29">
            <v>7000</v>
          </cell>
        </row>
        <row r="30">
          <cell r="A30"/>
          <cell r="B30"/>
        </row>
        <row r="31">
          <cell r="A31" t="str">
            <v xml:space="preserve">    Total Cost Of Issuance</v>
          </cell>
          <cell r="B31">
            <v>383404</v>
          </cell>
        </row>
        <row r="32">
          <cell r="A32"/>
          <cell r="B32"/>
        </row>
        <row r="33">
          <cell r="A33" t="str">
            <v>CFO LABOR</v>
          </cell>
          <cell r="B33">
            <v>7985.04</v>
          </cell>
        </row>
        <row r="36">
          <cell r="B36"/>
        </row>
        <row r="37">
          <cell r="A37">
            <v>44643.507597685188</v>
          </cell>
          <cell r="B37"/>
        </row>
        <row r="38">
          <cell r="B38"/>
        </row>
        <row r="39">
          <cell r="B39"/>
        </row>
        <row r="40">
          <cell r="B40"/>
        </row>
        <row r="42">
          <cell r="B42"/>
        </row>
        <row r="46">
          <cell r="B46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"/>
      <sheetName val="C-05 2019A"/>
      <sheetName val="2021A"/>
      <sheetName val="C-31 1of3"/>
      <sheetName val="C-31 2of3"/>
      <sheetName val="C-31 3of3"/>
      <sheetName val="Total Debt"/>
      <sheetName val="Prior"/>
      <sheetName val="Series Detail"/>
      <sheetName val="Refunded Prior"/>
      <sheetName val="FY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C1" t="str">
            <v>MPEA 2021A Expansion Project Bond Deal</v>
          </cell>
        </row>
        <row r="2">
          <cell r="C2" t="str">
            <v>Total Expansion Project Bonds Debt Service</v>
          </cell>
        </row>
        <row r="3">
          <cell r="C3" t="str">
            <v>(After Series 2021A Expansion Project Bond Issuance)</v>
          </cell>
        </row>
        <row r="5">
          <cell r="A5" t="str">
            <v>Maturity Schedule as of</v>
          </cell>
          <cell r="E5">
            <v>44391</v>
          </cell>
        </row>
        <row r="7">
          <cell r="A7" t="str">
            <v>Principal</v>
          </cell>
        </row>
        <row r="8">
          <cell r="A8" t="str">
            <v>Interest Payment</v>
          </cell>
          <cell r="C8" t="str">
            <v>Principal to be</v>
          </cell>
          <cell r="G8" t="str">
            <v>Compounded</v>
          </cell>
          <cell r="I8" t="str">
            <v>Capitalized</v>
          </cell>
          <cell r="M8" t="str">
            <v>Annual</v>
          </cell>
        </row>
        <row r="9">
          <cell r="A9" t="str">
            <v>Date</v>
          </cell>
          <cell r="C9" t="str">
            <v>Redeemed</v>
          </cell>
          <cell r="E9" t="str">
            <v>Interest Due</v>
          </cell>
          <cell r="G9" t="str">
            <v>Interest</v>
          </cell>
          <cell r="I9" t="str">
            <v>Interest</v>
          </cell>
          <cell r="K9" t="str">
            <v>Debt Service</v>
          </cell>
          <cell r="M9" t="str">
            <v>Debt Service</v>
          </cell>
        </row>
        <row r="10">
          <cell r="A10">
            <v>44545</v>
          </cell>
          <cell r="C10">
            <v>0</v>
          </cell>
          <cell r="E10">
            <v>56529305.079999998</v>
          </cell>
          <cell r="G10">
            <v>0</v>
          </cell>
          <cell r="I10">
            <v>0</v>
          </cell>
          <cell r="K10">
            <v>56529305.079999998</v>
          </cell>
        </row>
        <row r="11">
          <cell r="A11">
            <v>44727</v>
          </cell>
          <cell r="C11">
            <v>0</v>
          </cell>
          <cell r="E11">
            <v>56529305.079999998</v>
          </cell>
          <cell r="G11">
            <v>0</v>
          </cell>
          <cell r="I11">
            <v>0</v>
          </cell>
          <cell r="K11">
            <v>56529305.079999998</v>
          </cell>
          <cell r="M11">
            <v>113058610.16</v>
          </cell>
        </row>
        <row r="12">
          <cell r="A12">
            <v>44910</v>
          </cell>
          <cell r="C12">
            <v>49201020</v>
          </cell>
          <cell r="E12">
            <v>63626690.840000004</v>
          </cell>
          <cell r="G12">
            <v>40068980</v>
          </cell>
          <cell r="I12">
            <v>0</v>
          </cell>
          <cell r="K12">
            <v>152896690.84</v>
          </cell>
        </row>
        <row r="13">
          <cell r="A13">
            <v>45092</v>
          </cell>
          <cell r="C13">
            <v>28232993.099999998</v>
          </cell>
          <cell r="E13">
            <v>59247755.079999998</v>
          </cell>
          <cell r="G13">
            <v>21677006.900000002</v>
          </cell>
          <cell r="I13">
            <v>0</v>
          </cell>
          <cell r="K13">
            <v>109157755.08</v>
          </cell>
          <cell r="M13">
            <v>262054445.92000002</v>
          </cell>
        </row>
        <row r="14">
          <cell r="A14">
            <v>45275</v>
          </cell>
          <cell r="C14">
            <v>30169366.600000001</v>
          </cell>
          <cell r="E14">
            <v>58483225.079999998</v>
          </cell>
          <cell r="G14">
            <v>97320633.400000006</v>
          </cell>
          <cell r="I14">
            <v>0</v>
          </cell>
          <cell r="K14">
            <v>185973225.08000001</v>
          </cell>
        </row>
        <row r="15">
          <cell r="A15">
            <v>45458</v>
          </cell>
          <cell r="C15">
            <v>25712146.500000004</v>
          </cell>
          <cell r="E15">
            <v>58082862.579999998</v>
          </cell>
          <cell r="G15">
            <v>30177853.5</v>
          </cell>
          <cell r="I15">
            <v>0</v>
          </cell>
          <cell r="K15">
            <v>113972862.58</v>
          </cell>
          <cell r="M15">
            <v>299946087.66000003</v>
          </cell>
        </row>
        <row r="16">
          <cell r="A16">
            <v>45641</v>
          </cell>
          <cell r="C16">
            <v>34801601.25</v>
          </cell>
          <cell r="E16">
            <v>57110157.579999998</v>
          </cell>
          <cell r="G16">
            <v>92468398.75</v>
          </cell>
          <cell r="I16">
            <v>0</v>
          </cell>
          <cell r="K16">
            <v>184380157.57999998</v>
          </cell>
        </row>
        <row r="17">
          <cell r="A17">
            <v>45823</v>
          </cell>
          <cell r="C17">
            <v>24303549.200000003</v>
          </cell>
          <cell r="E17">
            <v>56551632.579999998</v>
          </cell>
          <cell r="G17">
            <v>34711450.800000004</v>
          </cell>
          <cell r="I17">
            <v>0</v>
          </cell>
          <cell r="K17">
            <v>115566632.58000001</v>
          </cell>
          <cell r="M17">
            <v>299946790.15999997</v>
          </cell>
        </row>
        <row r="18">
          <cell r="A18">
            <v>46006</v>
          </cell>
          <cell r="C18">
            <v>31616644</v>
          </cell>
          <cell r="E18">
            <v>55457650.079999998</v>
          </cell>
          <cell r="G18">
            <v>60213356</v>
          </cell>
          <cell r="I18">
            <v>0</v>
          </cell>
          <cell r="K18">
            <v>147287650.07999998</v>
          </cell>
        </row>
        <row r="19">
          <cell r="A19">
            <v>46188</v>
          </cell>
          <cell r="C19">
            <v>46047485.400000006</v>
          </cell>
          <cell r="E19">
            <v>54758812.579999998</v>
          </cell>
          <cell r="G19">
            <v>51852514.599999994</v>
          </cell>
          <cell r="I19">
            <v>0</v>
          </cell>
          <cell r="K19">
            <v>152658812.57999998</v>
          </cell>
          <cell r="M19">
            <v>299946462.65999997</v>
          </cell>
        </row>
        <row r="20">
          <cell r="A20">
            <v>46371</v>
          </cell>
          <cell r="C20">
            <v>139694290.40000001</v>
          </cell>
          <cell r="E20">
            <v>53549325.079999998</v>
          </cell>
          <cell r="G20">
            <v>39230709.600000001</v>
          </cell>
          <cell r="I20">
            <v>0</v>
          </cell>
          <cell r="K20">
            <v>232474325.08000001</v>
          </cell>
        </row>
        <row r="21">
          <cell r="A21">
            <v>46553</v>
          </cell>
          <cell r="C21">
            <v>48849934.100000001</v>
          </cell>
          <cell r="E21">
            <v>50291448.950000003</v>
          </cell>
          <cell r="G21">
            <v>43330065.899999999</v>
          </cell>
          <cell r="I21">
            <v>0</v>
          </cell>
          <cell r="K21">
            <v>142471448.95000002</v>
          </cell>
          <cell r="M21">
            <v>374945774.03000003</v>
          </cell>
        </row>
        <row r="22">
          <cell r="A22">
            <v>46736</v>
          </cell>
          <cell r="C22">
            <v>181095000</v>
          </cell>
          <cell r="E22">
            <v>49630036.450000003</v>
          </cell>
          <cell r="G22">
            <v>0</v>
          </cell>
          <cell r="I22">
            <v>0</v>
          </cell>
          <cell r="K22">
            <v>230725036.44999999</v>
          </cell>
        </row>
        <row r="23">
          <cell r="A23">
            <v>46919</v>
          </cell>
          <cell r="C23">
            <v>15902687.300000001</v>
          </cell>
          <cell r="E23">
            <v>45229595.829999998</v>
          </cell>
          <cell r="G23">
            <v>83087312.700000003</v>
          </cell>
          <cell r="I23">
            <v>0</v>
          </cell>
          <cell r="K23">
            <v>144219595.82999998</v>
          </cell>
          <cell r="M23">
            <v>374944632.27999997</v>
          </cell>
        </row>
        <row r="24">
          <cell r="A24">
            <v>47102</v>
          </cell>
          <cell r="C24">
            <v>177760000</v>
          </cell>
          <cell r="E24">
            <v>45064733.329999998</v>
          </cell>
          <cell r="G24">
            <v>0</v>
          </cell>
          <cell r="I24">
            <v>0</v>
          </cell>
          <cell r="K24">
            <v>222824733.32999998</v>
          </cell>
        </row>
        <row r="25">
          <cell r="A25">
            <v>47284</v>
          </cell>
          <cell r="C25">
            <v>15495321.300000001</v>
          </cell>
          <cell r="E25">
            <v>40701362.5</v>
          </cell>
          <cell r="G25">
            <v>83719678.700000003</v>
          </cell>
          <cell r="I25">
            <v>0</v>
          </cell>
          <cell r="K25">
            <v>139916362.5</v>
          </cell>
          <cell r="M25">
            <v>362741095.82999998</v>
          </cell>
        </row>
        <row r="26">
          <cell r="A26">
            <v>47467</v>
          </cell>
          <cell r="C26">
            <v>6595539.0499999998</v>
          </cell>
          <cell r="E26">
            <v>40530312.5</v>
          </cell>
          <cell r="G26">
            <v>155099460.94999999</v>
          </cell>
          <cell r="I26">
            <v>0</v>
          </cell>
          <cell r="K26">
            <v>202225312.5</v>
          </cell>
        </row>
        <row r="27">
          <cell r="A27">
            <v>47649</v>
          </cell>
          <cell r="C27">
            <v>3486095.6</v>
          </cell>
          <cell r="E27">
            <v>40530312.5</v>
          </cell>
          <cell r="G27">
            <v>87108904.400000006</v>
          </cell>
          <cell r="I27">
            <v>0</v>
          </cell>
          <cell r="K27">
            <v>131125312.5</v>
          </cell>
          <cell r="M27">
            <v>333350625</v>
          </cell>
        </row>
        <row r="28">
          <cell r="A28">
            <v>47832</v>
          </cell>
          <cell r="C28">
            <v>12504528.5</v>
          </cell>
          <cell r="E28">
            <v>40530312.5</v>
          </cell>
          <cell r="G28">
            <v>155825471.5</v>
          </cell>
          <cell r="I28">
            <v>0</v>
          </cell>
          <cell r="K28">
            <v>208860312.5</v>
          </cell>
        </row>
        <row r="29">
          <cell r="A29">
            <v>48014</v>
          </cell>
          <cell r="C29">
            <v>3716425.6</v>
          </cell>
          <cell r="E29">
            <v>40364437.5</v>
          </cell>
          <cell r="G29">
            <v>92413574.400000006</v>
          </cell>
          <cell r="I29">
            <v>0</v>
          </cell>
          <cell r="K29">
            <v>136494437.5</v>
          </cell>
          <cell r="M29">
            <v>345354750</v>
          </cell>
        </row>
        <row r="30">
          <cell r="A30">
            <v>48197</v>
          </cell>
          <cell r="C30">
            <v>9249365.4499999993</v>
          </cell>
          <cell r="E30">
            <v>41774188.75</v>
          </cell>
          <cell r="G30">
            <v>156470634.55000001</v>
          </cell>
          <cell r="I30">
            <v>0</v>
          </cell>
          <cell r="K30">
            <v>207494188.75</v>
          </cell>
        </row>
        <row r="31">
          <cell r="A31">
            <v>48380</v>
          </cell>
          <cell r="C31">
            <v>3401631.2</v>
          </cell>
          <cell r="E31">
            <v>41673563.75</v>
          </cell>
          <cell r="G31">
            <v>92773368.799999997</v>
          </cell>
          <cell r="I31">
            <v>0</v>
          </cell>
          <cell r="K31">
            <v>137848563.75</v>
          </cell>
          <cell r="M31">
            <v>345342752.5</v>
          </cell>
        </row>
        <row r="32">
          <cell r="A32">
            <v>48563</v>
          </cell>
          <cell r="C32">
            <v>8868731.25</v>
          </cell>
          <cell r="E32">
            <v>41661438.75</v>
          </cell>
          <cell r="G32">
            <v>157046268.75</v>
          </cell>
          <cell r="I32">
            <v>0</v>
          </cell>
          <cell r="K32">
            <v>207576438.75</v>
          </cell>
        </row>
        <row r="33">
          <cell r="A33">
            <v>48745</v>
          </cell>
          <cell r="C33">
            <v>3130112.8</v>
          </cell>
          <cell r="E33">
            <v>41555938.75</v>
          </cell>
          <cell r="G33">
            <v>93094887.200000003</v>
          </cell>
          <cell r="I33">
            <v>0</v>
          </cell>
          <cell r="K33">
            <v>137780938.75</v>
          </cell>
          <cell r="M33">
            <v>345357377.5</v>
          </cell>
        </row>
        <row r="34">
          <cell r="A34">
            <v>48928</v>
          </cell>
          <cell r="C34">
            <v>8542775.0500000007</v>
          </cell>
          <cell r="E34">
            <v>41542563.75</v>
          </cell>
          <cell r="G34">
            <v>157557224.94999999</v>
          </cell>
          <cell r="I34">
            <v>0</v>
          </cell>
          <cell r="K34">
            <v>207642563.75</v>
          </cell>
        </row>
        <row r="35">
          <cell r="A35">
            <v>49110</v>
          </cell>
          <cell r="C35">
            <v>2889956.6</v>
          </cell>
          <cell r="E35">
            <v>41432438.75</v>
          </cell>
          <cell r="G35">
            <v>93380043.400000006</v>
          </cell>
          <cell r="I35">
            <v>0</v>
          </cell>
          <cell r="K35">
            <v>137702438.75</v>
          </cell>
          <cell r="M35">
            <v>345345002.5</v>
          </cell>
        </row>
        <row r="36">
          <cell r="A36">
            <v>49293</v>
          </cell>
          <cell r="C36">
            <v>8301795.1500000004</v>
          </cell>
          <cell r="E36">
            <v>41417938.75</v>
          </cell>
          <cell r="G36">
            <v>158013204.84999999</v>
          </cell>
          <cell r="I36">
            <v>0</v>
          </cell>
          <cell r="K36">
            <v>207732938.75</v>
          </cell>
        </row>
        <row r="37">
          <cell r="A37">
            <v>49475</v>
          </cell>
          <cell r="C37">
            <v>2685421.2</v>
          </cell>
          <cell r="E37">
            <v>41302438.75</v>
          </cell>
          <cell r="G37">
            <v>93634578.799999997</v>
          </cell>
          <cell r="I37">
            <v>0</v>
          </cell>
          <cell r="K37">
            <v>137622438.75</v>
          </cell>
          <cell r="M37">
            <v>345355377.5</v>
          </cell>
        </row>
        <row r="38">
          <cell r="A38">
            <v>49658</v>
          </cell>
          <cell r="C38">
            <v>6555709.0499999998</v>
          </cell>
          <cell r="E38">
            <v>41286688.75</v>
          </cell>
          <cell r="G38">
            <v>159959290.94999999</v>
          </cell>
          <cell r="I38">
            <v>0</v>
          </cell>
          <cell r="K38">
            <v>207801688.75</v>
          </cell>
        </row>
        <row r="39">
          <cell r="A39">
            <v>49841</v>
          </cell>
          <cell r="C39">
            <v>2514592.7999999998</v>
          </cell>
          <cell r="E39">
            <v>41171146.25</v>
          </cell>
          <cell r="G39">
            <v>93860407.200000003</v>
          </cell>
          <cell r="I39">
            <v>0</v>
          </cell>
          <cell r="K39">
            <v>137546146.25</v>
          </cell>
          <cell r="M39">
            <v>345347835</v>
          </cell>
        </row>
        <row r="40">
          <cell r="A40">
            <v>50024</v>
          </cell>
          <cell r="C40">
            <v>6338153.4000000004</v>
          </cell>
          <cell r="E40">
            <v>41154021.25</v>
          </cell>
          <cell r="G40">
            <v>160396846.59999999</v>
          </cell>
          <cell r="I40">
            <v>0</v>
          </cell>
          <cell r="K40">
            <v>207889021.25</v>
          </cell>
        </row>
        <row r="41">
          <cell r="A41">
            <v>50206</v>
          </cell>
          <cell r="C41">
            <v>2368643.7999999998</v>
          </cell>
          <cell r="E41">
            <v>41033226.25</v>
          </cell>
          <cell r="G41">
            <v>94061356.200000003</v>
          </cell>
          <cell r="I41">
            <v>0</v>
          </cell>
          <cell r="K41">
            <v>137463226.25</v>
          </cell>
          <cell r="M41">
            <v>345352247.5</v>
          </cell>
        </row>
        <row r="42">
          <cell r="A42">
            <v>50389</v>
          </cell>
          <cell r="C42">
            <v>6159404.5499999998</v>
          </cell>
          <cell r="E42">
            <v>41014726.25</v>
          </cell>
          <cell r="G42">
            <v>160795595.44999999</v>
          </cell>
          <cell r="I42">
            <v>0</v>
          </cell>
          <cell r="K42">
            <v>207969726.25</v>
          </cell>
        </row>
        <row r="43">
          <cell r="A43">
            <v>50571</v>
          </cell>
          <cell r="C43">
            <v>2248746.6</v>
          </cell>
          <cell r="E43">
            <v>40888678.75</v>
          </cell>
          <cell r="G43">
            <v>94241253.400000006</v>
          </cell>
          <cell r="I43">
            <v>0</v>
          </cell>
          <cell r="K43">
            <v>137378678.75</v>
          </cell>
          <cell r="M43">
            <v>345348405</v>
          </cell>
        </row>
        <row r="44">
          <cell r="A44">
            <v>50754</v>
          </cell>
          <cell r="C44">
            <v>5990942.8499999996</v>
          </cell>
          <cell r="E44">
            <v>40868678.75</v>
          </cell>
          <cell r="G44">
            <v>161204057.14999998</v>
          </cell>
          <cell r="I44">
            <v>0</v>
          </cell>
          <cell r="K44">
            <v>208063678.74999997</v>
          </cell>
        </row>
        <row r="45">
          <cell r="A45">
            <v>50936</v>
          </cell>
          <cell r="C45">
            <v>2154901.2000000002</v>
          </cell>
          <cell r="E45">
            <v>40734040</v>
          </cell>
          <cell r="G45">
            <v>94400098.799999997</v>
          </cell>
          <cell r="I45">
            <v>0</v>
          </cell>
          <cell r="K45">
            <v>137289040</v>
          </cell>
          <cell r="M45">
            <v>345352718.75</v>
          </cell>
        </row>
        <row r="46">
          <cell r="A46">
            <v>51119</v>
          </cell>
          <cell r="C46">
            <v>5897223.4500000002</v>
          </cell>
          <cell r="E46">
            <v>40712415</v>
          </cell>
          <cell r="G46">
            <v>161547776.55000001</v>
          </cell>
          <cell r="I46">
            <v>0</v>
          </cell>
          <cell r="K46">
            <v>208157415</v>
          </cell>
        </row>
        <row r="47">
          <cell r="A47">
            <v>51302</v>
          </cell>
          <cell r="C47">
            <v>2077323.1</v>
          </cell>
          <cell r="E47">
            <v>40571665</v>
          </cell>
          <cell r="G47">
            <v>94542676.900000006</v>
          </cell>
          <cell r="I47">
            <v>0</v>
          </cell>
          <cell r="K47">
            <v>137191665</v>
          </cell>
          <cell r="M47">
            <v>345349080</v>
          </cell>
        </row>
        <row r="48">
          <cell r="A48">
            <v>51485</v>
          </cell>
          <cell r="C48">
            <v>5842839.3499999996</v>
          </cell>
          <cell r="E48">
            <v>40548415</v>
          </cell>
          <cell r="G48">
            <v>161867160.65000001</v>
          </cell>
          <cell r="I48">
            <v>0</v>
          </cell>
          <cell r="K48">
            <v>208258415</v>
          </cell>
        </row>
        <row r="49">
          <cell r="A49">
            <v>51667</v>
          </cell>
          <cell r="C49">
            <v>14792558</v>
          </cell>
          <cell r="E49">
            <v>40401186.25</v>
          </cell>
          <cell r="G49">
            <v>81897298.599999994</v>
          </cell>
          <cell r="I49">
            <v>0</v>
          </cell>
          <cell r="K49">
            <v>137091042.84999999</v>
          </cell>
          <cell r="M49">
            <v>345349457.85000002</v>
          </cell>
        </row>
        <row r="50">
          <cell r="A50">
            <v>51850</v>
          </cell>
          <cell r="C50">
            <v>123051135.40000001</v>
          </cell>
          <cell r="E50">
            <v>40377811.25</v>
          </cell>
          <cell r="G50">
            <v>34863864.600000001</v>
          </cell>
          <cell r="I50">
            <v>0</v>
          </cell>
          <cell r="K50">
            <v>198292811.25</v>
          </cell>
        </row>
        <row r="51">
          <cell r="A51">
            <v>52032</v>
          </cell>
          <cell r="C51">
            <v>174875000</v>
          </cell>
          <cell r="E51">
            <v>37692212.5</v>
          </cell>
          <cell r="G51">
            <v>0</v>
          </cell>
          <cell r="I51">
            <v>0</v>
          </cell>
          <cell r="K51">
            <v>212567212.5</v>
          </cell>
          <cell r="M51">
            <v>410860023.75</v>
          </cell>
        </row>
        <row r="52">
          <cell r="A52">
            <v>52215</v>
          </cell>
          <cell r="C52">
            <v>7083967.5</v>
          </cell>
          <cell r="E52">
            <v>33548431.25</v>
          </cell>
          <cell r="G52">
            <v>2206032.5</v>
          </cell>
          <cell r="I52">
            <v>0</v>
          </cell>
          <cell r="K52">
            <v>42838431.25</v>
          </cell>
        </row>
        <row r="53">
          <cell r="A53">
            <v>52397</v>
          </cell>
          <cell r="C53">
            <v>36068329.5</v>
          </cell>
          <cell r="E53">
            <v>33319650</v>
          </cell>
          <cell r="G53">
            <v>231401670.5</v>
          </cell>
          <cell r="I53">
            <v>0</v>
          </cell>
          <cell r="K53">
            <v>300789650</v>
          </cell>
          <cell r="M53">
            <v>343628081.25</v>
          </cell>
        </row>
        <row r="54">
          <cell r="A54">
            <v>52580</v>
          </cell>
          <cell r="C54">
            <v>7408537.5999999996</v>
          </cell>
          <cell r="E54">
            <v>33319650</v>
          </cell>
          <cell r="G54">
            <v>2351462.3999999999</v>
          </cell>
          <cell r="I54">
            <v>0</v>
          </cell>
          <cell r="K54">
            <v>43079650</v>
          </cell>
        </row>
        <row r="55">
          <cell r="A55">
            <v>52763</v>
          </cell>
          <cell r="C55">
            <v>33701220</v>
          </cell>
          <cell r="E55">
            <v>33076865</v>
          </cell>
          <cell r="G55">
            <v>233768780</v>
          </cell>
          <cell r="I55">
            <v>0</v>
          </cell>
          <cell r="K55">
            <v>300546865</v>
          </cell>
          <cell r="M55">
            <v>343626515</v>
          </cell>
        </row>
        <row r="56">
          <cell r="A56">
            <v>52946</v>
          </cell>
          <cell r="C56">
            <v>7792577.5999999996</v>
          </cell>
          <cell r="E56">
            <v>33076865</v>
          </cell>
          <cell r="G56">
            <v>2472422.3999999999</v>
          </cell>
          <cell r="I56">
            <v>0</v>
          </cell>
          <cell r="K56">
            <v>43341865</v>
          </cell>
        </row>
        <row r="57">
          <cell r="A57">
            <v>53128</v>
          </cell>
          <cell r="C57">
            <v>31689253.199999999</v>
          </cell>
          <cell r="E57">
            <v>32821517.5</v>
          </cell>
          <cell r="G57">
            <v>235775746.80000001</v>
          </cell>
          <cell r="I57">
            <v>0</v>
          </cell>
          <cell r="K57">
            <v>300286517.5</v>
          </cell>
          <cell r="M57">
            <v>343628382.5</v>
          </cell>
        </row>
        <row r="58">
          <cell r="A58">
            <v>53311</v>
          </cell>
          <cell r="C58">
            <v>8184198.4000000004</v>
          </cell>
          <cell r="E58">
            <v>32821517.5</v>
          </cell>
          <cell r="G58">
            <v>2595801.6</v>
          </cell>
          <cell r="I58">
            <v>0</v>
          </cell>
          <cell r="K58">
            <v>43601517.5</v>
          </cell>
        </row>
        <row r="59">
          <cell r="A59">
            <v>53493</v>
          </cell>
          <cell r="C59">
            <v>29798832.699999999</v>
          </cell>
          <cell r="E59">
            <v>32553358.75</v>
          </cell>
          <cell r="G59">
            <v>237671167.30000001</v>
          </cell>
          <cell r="I59">
            <v>0</v>
          </cell>
          <cell r="K59">
            <v>300023358.75</v>
          </cell>
          <cell r="M59">
            <v>343624876.25</v>
          </cell>
        </row>
        <row r="60">
          <cell r="A60">
            <v>53676</v>
          </cell>
          <cell r="C60">
            <v>63856142.399999999</v>
          </cell>
          <cell r="E60">
            <v>32553358.75</v>
          </cell>
          <cell r="G60">
            <v>2728857.6000000001</v>
          </cell>
          <cell r="I60">
            <v>0</v>
          </cell>
          <cell r="K60">
            <v>99138358.75</v>
          </cell>
        </row>
        <row r="61">
          <cell r="A61">
            <v>53858</v>
          </cell>
          <cell r="C61">
            <v>22376212.199999999</v>
          </cell>
          <cell r="E61">
            <v>30890143.75</v>
          </cell>
          <cell r="G61">
            <v>191218787.80000001</v>
          </cell>
          <cell r="I61">
            <v>0</v>
          </cell>
          <cell r="K61">
            <v>244485143.75</v>
          </cell>
          <cell r="M61">
            <v>343623502.5</v>
          </cell>
        </row>
        <row r="62">
          <cell r="A62">
            <v>54041</v>
          </cell>
          <cell r="C62">
            <v>171333248</v>
          </cell>
          <cell r="E62">
            <v>30890143.75</v>
          </cell>
          <cell r="G62">
            <v>2866752</v>
          </cell>
          <cell r="I62">
            <v>0</v>
          </cell>
          <cell r="K62">
            <v>205090143.75</v>
          </cell>
        </row>
        <row r="63">
          <cell r="A63">
            <v>54224</v>
          </cell>
          <cell r="C63">
            <v>112000000</v>
          </cell>
          <cell r="E63">
            <v>26536625</v>
          </cell>
          <cell r="G63">
            <v>0</v>
          </cell>
          <cell r="I63">
            <v>0</v>
          </cell>
          <cell r="K63">
            <v>138536625</v>
          </cell>
          <cell r="M63">
            <v>343626768.75</v>
          </cell>
        </row>
        <row r="64">
          <cell r="A64">
            <v>54407</v>
          </cell>
          <cell r="C64">
            <v>180775000</v>
          </cell>
          <cell r="E64">
            <v>24110775</v>
          </cell>
          <cell r="G64">
            <v>0</v>
          </cell>
          <cell r="I64">
            <v>0</v>
          </cell>
          <cell r="K64">
            <v>204885775</v>
          </cell>
        </row>
        <row r="65">
          <cell r="A65">
            <v>54589</v>
          </cell>
          <cell r="C65">
            <v>113674595.3</v>
          </cell>
          <cell r="E65">
            <v>20179100</v>
          </cell>
          <cell r="G65">
            <v>4883964</v>
          </cell>
          <cell r="I65">
            <v>0</v>
          </cell>
          <cell r="K65">
            <v>138737659.30000001</v>
          </cell>
          <cell r="M65">
            <v>343623434.30000001</v>
          </cell>
        </row>
        <row r="66">
          <cell r="A66">
            <v>54772</v>
          </cell>
          <cell r="C66">
            <v>143516263.55000001</v>
          </cell>
          <cell r="E66">
            <v>17743475</v>
          </cell>
          <cell r="G66">
            <v>43898910.299999997</v>
          </cell>
          <cell r="I66">
            <v>0</v>
          </cell>
          <cell r="K66">
            <v>205158648.85000002</v>
          </cell>
        </row>
        <row r="67">
          <cell r="A67">
            <v>54954</v>
          </cell>
          <cell r="C67">
            <v>123645000</v>
          </cell>
          <cell r="E67">
            <v>14821650</v>
          </cell>
          <cell r="G67">
            <v>0</v>
          </cell>
          <cell r="I67">
            <v>0</v>
          </cell>
          <cell r="K67">
            <v>138466650</v>
          </cell>
          <cell r="M67">
            <v>343625298.85000002</v>
          </cell>
        </row>
        <row r="68">
          <cell r="A68">
            <v>55137</v>
          </cell>
          <cell r="C68">
            <v>25645714.300000001</v>
          </cell>
          <cell r="E68">
            <v>12168750</v>
          </cell>
          <cell r="G68">
            <v>170938578.30000001</v>
          </cell>
          <cell r="I68">
            <v>0</v>
          </cell>
          <cell r="K68">
            <v>208753042.60000002</v>
          </cell>
        </row>
        <row r="69">
          <cell r="A69">
            <v>55319</v>
          </cell>
          <cell r="C69">
            <v>15218139.35</v>
          </cell>
          <cell r="E69">
            <v>12088875</v>
          </cell>
          <cell r="G69">
            <v>111183089.55</v>
          </cell>
          <cell r="I69">
            <v>0</v>
          </cell>
          <cell r="K69">
            <v>138490103.90000001</v>
          </cell>
          <cell r="M69">
            <v>347243146.5</v>
          </cell>
        </row>
        <row r="70">
          <cell r="A70">
            <v>55502</v>
          </cell>
          <cell r="C70">
            <v>46433118.25</v>
          </cell>
          <cell r="E70">
            <v>12055125</v>
          </cell>
          <cell r="G70">
            <v>150258121.25</v>
          </cell>
          <cell r="I70">
            <v>0</v>
          </cell>
          <cell r="K70">
            <v>208746364.5</v>
          </cell>
        </row>
        <row r="71">
          <cell r="A71">
            <v>55685</v>
          </cell>
          <cell r="C71">
            <v>127140000</v>
          </cell>
          <cell r="E71">
            <v>11354250</v>
          </cell>
          <cell r="G71">
            <v>0</v>
          </cell>
          <cell r="I71">
            <v>0</v>
          </cell>
          <cell r="K71">
            <v>138494250</v>
          </cell>
          <cell r="M71">
            <v>347240614.5</v>
          </cell>
        </row>
        <row r="72">
          <cell r="A72">
            <v>55868</v>
          </cell>
          <cell r="C72">
            <v>24777137.699999999</v>
          </cell>
          <cell r="E72">
            <v>8175750</v>
          </cell>
          <cell r="G72">
            <v>176794160.5</v>
          </cell>
          <cell r="I72">
            <v>0</v>
          </cell>
          <cell r="K72">
            <v>209747048.19999999</v>
          </cell>
        </row>
        <row r="73">
          <cell r="A73">
            <v>56050</v>
          </cell>
          <cell r="C73">
            <v>129335000</v>
          </cell>
          <cell r="E73">
            <v>8158500</v>
          </cell>
          <cell r="G73">
            <v>0</v>
          </cell>
          <cell r="I73">
            <v>0</v>
          </cell>
          <cell r="K73">
            <v>137493500</v>
          </cell>
          <cell r="M73">
            <v>347240548.19999999</v>
          </cell>
        </row>
        <row r="74">
          <cell r="A74">
            <v>56233</v>
          </cell>
          <cell r="C74">
            <v>32548480.649999999</v>
          </cell>
          <cell r="E74">
            <v>4750125</v>
          </cell>
          <cell r="G74">
            <v>177986684.5</v>
          </cell>
          <cell r="I74">
            <v>0</v>
          </cell>
          <cell r="K74">
            <v>215285290.15000001</v>
          </cell>
        </row>
        <row r="75">
          <cell r="A75">
            <v>56415</v>
          </cell>
          <cell r="C75">
            <v>36149432</v>
          </cell>
          <cell r="E75">
            <v>4750125</v>
          </cell>
          <cell r="G75">
            <v>91058660</v>
          </cell>
          <cell r="I75">
            <v>0</v>
          </cell>
          <cell r="K75">
            <v>131958217</v>
          </cell>
          <cell r="M75">
            <v>347243507.14999998</v>
          </cell>
        </row>
        <row r="76">
          <cell r="A76">
            <v>56598</v>
          </cell>
          <cell r="C76">
            <v>30978571.5</v>
          </cell>
          <cell r="E76">
            <v>4250125</v>
          </cell>
          <cell r="G76">
            <v>180062062</v>
          </cell>
          <cell r="I76">
            <v>0</v>
          </cell>
          <cell r="K76">
            <v>215290758.5</v>
          </cell>
        </row>
        <row r="77">
          <cell r="A77">
            <v>56780</v>
          </cell>
          <cell r="C77">
            <v>35404535.299999997</v>
          </cell>
          <cell r="E77">
            <v>4250125</v>
          </cell>
          <cell r="G77">
            <v>92299160.799999997</v>
          </cell>
          <cell r="I77">
            <v>0</v>
          </cell>
          <cell r="K77">
            <v>131953821.09999999</v>
          </cell>
          <cell r="M77">
            <v>347244579.60000002</v>
          </cell>
        </row>
        <row r="78">
          <cell r="A78">
            <v>56963</v>
          </cell>
          <cell r="C78">
            <v>42944037.049999997</v>
          </cell>
          <cell r="E78">
            <v>3750125</v>
          </cell>
          <cell r="G78">
            <v>141683286.59999999</v>
          </cell>
          <cell r="I78">
            <v>0</v>
          </cell>
          <cell r="K78">
            <v>188377448.64999998</v>
          </cell>
        </row>
        <row r="79">
          <cell r="A79">
            <v>57146</v>
          </cell>
          <cell r="C79">
            <v>26618429.75</v>
          </cell>
          <cell r="E79">
            <v>3250125</v>
          </cell>
          <cell r="G79">
            <v>128994700</v>
          </cell>
          <cell r="I79">
            <v>0</v>
          </cell>
          <cell r="K79">
            <v>158863254.75</v>
          </cell>
          <cell r="M79">
            <v>347240703.39999998</v>
          </cell>
        </row>
        <row r="80">
          <cell r="A80">
            <v>57329</v>
          </cell>
          <cell r="C80">
            <v>36621670.25</v>
          </cell>
          <cell r="E80">
            <v>3250125</v>
          </cell>
          <cell r="G80">
            <v>175418329.75</v>
          </cell>
          <cell r="I80">
            <v>0</v>
          </cell>
          <cell r="K80">
            <v>215290125</v>
          </cell>
        </row>
        <row r="81">
          <cell r="A81">
            <v>57511</v>
          </cell>
          <cell r="C81">
            <v>128740000</v>
          </cell>
          <cell r="E81">
            <v>3218500</v>
          </cell>
          <cell r="G81">
            <v>0</v>
          </cell>
          <cell r="I81">
            <v>0</v>
          </cell>
          <cell r="K81">
            <v>131958500</v>
          </cell>
          <cell r="M81">
            <v>347248625</v>
          </cell>
        </row>
        <row r="82">
          <cell r="A82">
            <v>57694</v>
          </cell>
          <cell r="C82">
            <v>0</v>
          </cell>
          <cell r="E82">
            <v>0</v>
          </cell>
          <cell r="G82">
            <v>0</v>
          </cell>
          <cell r="I82">
            <v>0</v>
          </cell>
          <cell r="K82">
            <v>0</v>
          </cell>
        </row>
        <row r="83">
          <cell r="A83">
            <v>57876</v>
          </cell>
          <cell r="C83">
            <v>0</v>
          </cell>
          <cell r="E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</row>
        <row r="84">
          <cell r="A84">
            <v>58059</v>
          </cell>
          <cell r="C84">
            <v>0</v>
          </cell>
          <cell r="E84">
            <v>0</v>
          </cell>
          <cell r="G84">
            <v>0</v>
          </cell>
          <cell r="I84">
            <v>0</v>
          </cell>
          <cell r="K84">
            <v>0</v>
          </cell>
        </row>
        <row r="85">
          <cell r="A85">
            <v>58241</v>
          </cell>
          <cell r="C85">
            <v>0</v>
          </cell>
          <cell r="E85">
            <v>0</v>
          </cell>
          <cell r="G85">
            <v>0</v>
          </cell>
          <cell r="I85">
            <v>0</v>
          </cell>
          <cell r="K85">
            <v>0</v>
          </cell>
          <cell r="M85">
            <v>0</v>
          </cell>
        </row>
        <row r="86">
          <cell r="A86">
            <v>58424</v>
          </cell>
          <cell r="C86">
            <v>0</v>
          </cell>
          <cell r="E86">
            <v>0</v>
          </cell>
          <cell r="G86">
            <v>0</v>
          </cell>
          <cell r="I86">
            <v>0</v>
          </cell>
          <cell r="K86">
            <v>0</v>
          </cell>
        </row>
        <row r="87">
          <cell r="A87">
            <v>58607</v>
          </cell>
          <cell r="C87">
            <v>0</v>
          </cell>
          <cell r="E87">
            <v>0</v>
          </cell>
          <cell r="G87">
            <v>0</v>
          </cell>
          <cell r="I87">
            <v>0</v>
          </cell>
          <cell r="K87">
            <v>0</v>
          </cell>
          <cell r="M87">
            <v>0</v>
          </cell>
        </row>
        <row r="89">
          <cell r="A89" t="str">
            <v>Totals</v>
          </cell>
          <cell r="C89">
            <v>3114579234.2000003</v>
          </cell>
          <cell r="E89">
            <v>2481348446.2000003</v>
          </cell>
          <cell r="G89">
            <v>6514430454.9000025</v>
          </cell>
          <cell r="I89">
            <v>0</v>
          </cell>
          <cell r="K89">
            <v>12110358135.299999</v>
          </cell>
          <cell r="M89">
            <v>12110358135.299999</v>
          </cell>
        </row>
        <row r="92">
          <cell r="A92">
            <v>44685.678179976851</v>
          </cell>
        </row>
      </sheetData>
      <sheetData sheetId="7" refreshError="1"/>
      <sheetData sheetId="8">
        <row r="5">
          <cell r="H5" t="str">
            <v>METROPOLITAN PIER AND EXPOSITION AUTHORITY</v>
          </cell>
        </row>
        <row r="6">
          <cell r="H6" t="str">
            <v>Outstanding Debt Service by Series</v>
          </cell>
        </row>
        <row r="7">
          <cell r="H7" t="str">
            <v>Aggregate Debt Service</v>
          </cell>
        </row>
        <row r="9">
          <cell r="H9" t="str">
            <v>Payment</v>
          </cell>
          <cell r="K9" t="str">
            <v>Compounded</v>
          </cell>
          <cell r="L9" t="str">
            <v xml:space="preserve">Capitalized </v>
          </cell>
          <cell r="M9" t="str">
            <v>Debt</v>
          </cell>
        </row>
        <row r="10">
          <cell r="H10" t="str">
            <v>Date</v>
          </cell>
          <cell r="I10" t="str">
            <v>Principal</v>
          </cell>
          <cell r="J10" t="str">
            <v>Interest</v>
          </cell>
          <cell r="K10" t="str">
            <v>Interest</v>
          </cell>
          <cell r="L10" t="str">
            <v>Interest</v>
          </cell>
          <cell r="M10" t="str">
            <v>Service</v>
          </cell>
        </row>
        <row r="12">
          <cell r="H12">
            <v>44545</v>
          </cell>
        </row>
        <row r="13">
          <cell r="H13">
            <v>44727</v>
          </cell>
          <cell r="I13">
            <v>0</v>
          </cell>
          <cell r="J13">
            <v>113058610.16</v>
          </cell>
          <cell r="K13">
            <v>0</v>
          </cell>
          <cell r="L13">
            <v>0</v>
          </cell>
          <cell r="M13">
            <v>113058610.16</v>
          </cell>
        </row>
        <row r="14">
          <cell r="H14">
            <v>44910</v>
          </cell>
        </row>
        <row r="15">
          <cell r="H15">
            <v>45092</v>
          </cell>
          <cell r="I15">
            <v>77434013.100000009</v>
          </cell>
          <cell r="J15">
            <v>122874445.92</v>
          </cell>
          <cell r="K15">
            <v>61745986.899999991</v>
          </cell>
          <cell r="L15">
            <v>0</v>
          </cell>
          <cell r="M15">
            <v>262054445.92000002</v>
          </cell>
        </row>
        <row r="16">
          <cell r="H16">
            <v>45275</v>
          </cell>
        </row>
        <row r="17">
          <cell r="H17">
            <v>45458</v>
          </cell>
          <cell r="I17">
            <v>55881513.100000009</v>
          </cell>
          <cell r="J17">
            <v>116566087.66</v>
          </cell>
          <cell r="K17">
            <v>127498486.90000001</v>
          </cell>
          <cell r="L17">
            <v>0</v>
          </cell>
          <cell r="M17">
            <v>299946087.65999997</v>
          </cell>
        </row>
        <row r="18">
          <cell r="H18">
            <v>45641</v>
          </cell>
        </row>
        <row r="19">
          <cell r="H19">
            <v>45823</v>
          </cell>
          <cell r="I19">
            <v>59105150.449999996</v>
          </cell>
          <cell r="J19">
            <v>113661790.16</v>
          </cell>
          <cell r="K19">
            <v>127179849.55000001</v>
          </cell>
          <cell r="L19">
            <v>0</v>
          </cell>
          <cell r="M19">
            <v>299946790.15999997</v>
          </cell>
        </row>
        <row r="20">
          <cell r="H20">
            <v>46006</v>
          </cell>
        </row>
        <row r="21">
          <cell r="H21">
            <v>46188</v>
          </cell>
          <cell r="I21">
            <v>77664129.400000006</v>
          </cell>
          <cell r="J21">
            <v>110216462.66</v>
          </cell>
          <cell r="K21">
            <v>112065870.60000001</v>
          </cell>
          <cell r="L21">
            <v>0</v>
          </cell>
          <cell r="M21">
            <v>299946462.66000003</v>
          </cell>
        </row>
        <row r="22">
          <cell r="H22">
            <v>46371</v>
          </cell>
        </row>
        <row r="23">
          <cell r="H23">
            <v>46553</v>
          </cell>
          <cell r="I23">
            <v>188544224.5</v>
          </cell>
          <cell r="J23">
            <v>103840774.03</v>
          </cell>
          <cell r="K23">
            <v>82560775.5</v>
          </cell>
          <cell r="L23">
            <v>0</v>
          </cell>
          <cell r="M23">
            <v>374945774.02999997</v>
          </cell>
        </row>
        <row r="24">
          <cell r="H24">
            <v>46736</v>
          </cell>
        </row>
        <row r="25">
          <cell r="H25">
            <v>46919</v>
          </cell>
          <cell r="I25">
            <v>196997687.30000001</v>
          </cell>
          <cell r="J25">
            <v>94859632.280000001</v>
          </cell>
          <cell r="K25">
            <v>83087312.700000003</v>
          </cell>
          <cell r="L25">
            <v>0</v>
          </cell>
          <cell r="M25">
            <v>374944632.28000003</v>
          </cell>
        </row>
        <row r="26">
          <cell r="H26">
            <v>47102</v>
          </cell>
        </row>
        <row r="27">
          <cell r="H27">
            <v>47284</v>
          </cell>
          <cell r="I27">
            <v>193255321.30000001</v>
          </cell>
          <cell r="J27">
            <v>85766095.829999998</v>
          </cell>
          <cell r="K27">
            <v>83719678.700000003</v>
          </cell>
          <cell r="L27">
            <v>0</v>
          </cell>
          <cell r="M27">
            <v>362741095.82999998</v>
          </cell>
        </row>
        <row r="28">
          <cell r="H28">
            <v>47467</v>
          </cell>
        </row>
        <row r="29">
          <cell r="H29">
            <v>47649</v>
          </cell>
          <cell r="I29">
            <v>10081634.65</v>
          </cell>
          <cell r="J29">
            <v>81060625</v>
          </cell>
          <cell r="K29">
            <v>242208365.34999999</v>
          </cell>
          <cell r="L29">
            <v>0</v>
          </cell>
          <cell r="M29">
            <v>333350625</v>
          </cell>
        </row>
        <row r="30">
          <cell r="H30">
            <v>47832</v>
          </cell>
        </row>
        <row r="31">
          <cell r="H31">
            <v>48014</v>
          </cell>
          <cell r="I31">
            <v>16220954.1</v>
          </cell>
          <cell r="J31">
            <v>80894750</v>
          </cell>
          <cell r="K31">
            <v>248239045.90000001</v>
          </cell>
          <cell r="L31">
            <v>0</v>
          </cell>
          <cell r="M31">
            <v>345354750</v>
          </cell>
        </row>
        <row r="32">
          <cell r="H32">
            <v>48197</v>
          </cell>
        </row>
        <row r="33">
          <cell r="H33">
            <v>48380</v>
          </cell>
          <cell r="I33">
            <v>12650996.649999999</v>
          </cell>
          <cell r="J33">
            <v>83447752.5</v>
          </cell>
          <cell r="K33">
            <v>249244003.35000002</v>
          </cell>
          <cell r="L33">
            <v>0</v>
          </cell>
          <cell r="M33">
            <v>345342752.5</v>
          </cell>
        </row>
        <row r="34">
          <cell r="H34">
            <v>48563</v>
          </cell>
        </row>
        <row r="35">
          <cell r="H35">
            <v>48745</v>
          </cell>
          <cell r="I35">
            <v>11998844.050000001</v>
          </cell>
          <cell r="J35">
            <v>83217377.5</v>
          </cell>
          <cell r="K35">
            <v>250141155.94999999</v>
          </cell>
          <cell r="L35">
            <v>0</v>
          </cell>
          <cell r="M35">
            <v>345357377.5</v>
          </cell>
        </row>
        <row r="36">
          <cell r="H36">
            <v>48928</v>
          </cell>
        </row>
        <row r="37">
          <cell r="H37">
            <v>49110</v>
          </cell>
          <cell r="I37">
            <v>11432731.65</v>
          </cell>
          <cell r="J37">
            <v>82975002.5</v>
          </cell>
          <cell r="K37">
            <v>250937268.34999999</v>
          </cell>
          <cell r="L37">
            <v>0</v>
          </cell>
          <cell r="M37">
            <v>345345002.5</v>
          </cell>
        </row>
        <row r="38">
          <cell r="H38">
            <v>49293</v>
          </cell>
        </row>
        <row r="39">
          <cell r="H39">
            <v>49475</v>
          </cell>
          <cell r="I39">
            <v>10987216.35</v>
          </cell>
          <cell r="J39">
            <v>82720377.5</v>
          </cell>
          <cell r="K39">
            <v>251647783.64999998</v>
          </cell>
          <cell r="L39">
            <v>0</v>
          </cell>
          <cell r="M39">
            <v>345355377.5</v>
          </cell>
        </row>
        <row r="40">
          <cell r="H40">
            <v>49658</v>
          </cell>
        </row>
        <row r="41">
          <cell r="H41">
            <v>49841</v>
          </cell>
          <cell r="I41">
            <v>9070301.8499999996</v>
          </cell>
          <cell r="J41">
            <v>82457835</v>
          </cell>
          <cell r="K41">
            <v>253819698.14999998</v>
          </cell>
          <cell r="L41">
            <v>0</v>
          </cell>
          <cell r="M41">
            <v>345347835</v>
          </cell>
        </row>
        <row r="42">
          <cell r="H42">
            <v>50024</v>
          </cell>
        </row>
        <row r="43">
          <cell r="H43">
            <v>50206</v>
          </cell>
          <cell r="I43">
            <v>8706797.2000000011</v>
          </cell>
          <cell r="J43">
            <v>82187247.5</v>
          </cell>
          <cell r="K43">
            <v>254458202.80000001</v>
          </cell>
          <cell r="L43">
            <v>0</v>
          </cell>
          <cell r="M43">
            <v>345352247.5</v>
          </cell>
        </row>
        <row r="44">
          <cell r="H44">
            <v>50389</v>
          </cell>
        </row>
        <row r="45">
          <cell r="H45">
            <v>50571</v>
          </cell>
          <cell r="I45">
            <v>8408151.1500000004</v>
          </cell>
          <cell r="J45">
            <v>81903405</v>
          </cell>
          <cell r="K45">
            <v>255036848.84999999</v>
          </cell>
          <cell r="L45">
            <v>0</v>
          </cell>
          <cell r="M45">
            <v>345348405</v>
          </cell>
        </row>
        <row r="46">
          <cell r="H46">
            <v>50754</v>
          </cell>
        </row>
        <row r="47">
          <cell r="H47">
            <v>50936</v>
          </cell>
          <cell r="I47">
            <v>8145844.0499999998</v>
          </cell>
          <cell r="J47">
            <v>81602718.75</v>
          </cell>
          <cell r="K47">
            <v>255604155.94999999</v>
          </cell>
          <cell r="L47">
            <v>0</v>
          </cell>
          <cell r="M47">
            <v>345352718.75</v>
          </cell>
        </row>
        <row r="48">
          <cell r="H48">
            <v>51119</v>
          </cell>
        </row>
        <row r="49">
          <cell r="H49">
            <v>51302</v>
          </cell>
          <cell r="I49">
            <v>7974546.5500000007</v>
          </cell>
          <cell r="J49">
            <v>81284080</v>
          </cell>
          <cell r="K49">
            <v>256090453.45000002</v>
          </cell>
          <cell r="L49">
            <v>0</v>
          </cell>
          <cell r="M49">
            <v>345349080</v>
          </cell>
        </row>
        <row r="50">
          <cell r="H50">
            <v>51485</v>
          </cell>
        </row>
        <row r="51">
          <cell r="H51">
            <v>51667</v>
          </cell>
          <cell r="I51">
            <v>20635397.349999998</v>
          </cell>
          <cell r="J51">
            <v>80949601.25</v>
          </cell>
          <cell r="K51">
            <v>243764459.25</v>
          </cell>
          <cell r="L51">
            <v>0</v>
          </cell>
          <cell r="M51">
            <v>345349457.85000002</v>
          </cell>
        </row>
        <row r="52">
          <cell r="H52">
            <v>51850</v>
          </cell>
        </row>
        <row r="53">
          <cell r="H53">
            <v>52032</v>
          </cell>
          <cell r="I53">
            <v>297926135.39999998</v>
          </cell>
          <cell r="J53">
            <v>78070023.75</v>
          </cell>
          <cell r="K53">
            <v>34863864.600000001</v>
          </cell>
          <cell r="L53">
            <v>0</v>
          </cell>
          <cell r="M53">
            <v>410860023.75</v>
          </cell>
        </row>
        <row r="54">
          <cell r="H54">
            <v>52215</v>
          </cell>
        </row>
        <row r="55">
          <cell r="H55">
            <v>52397</v>
          </cell>
          <cell r="I55">
            <v>43152297</v>
          </cell>
          <cell r="J55">
            <v>66868081.25</v>
          </cell>
          <cell r="K55">
            <v>233607703</v>
          </cell>
          <cell r="L55">
            <v>0</v>
          </cell>
          <cell r="M55">
            <v>343628081.25</v>
          </cell>
        </row>
        <row r="56">
          <cell r="H56">
            <v>52580</v>
          </cell>
        </row>
        <row r="57">
          <cell r="H57">
            <v>52763</v>
          </cell>
          <cell r="I57">
            <v>41109757.600000001</v>
          </cell>
          <cell r="J57">
            <v>66396515</v>
          </cell>
          <cell r="K57">
            <v>236120242.40000001</v>
          </cell>
          <cell r="L57">
            <v>0</v>
          </cell>
          <cell r="M57">
            <v>343626515</v>
          </cell>
        </row>
        <row r="58">
          <cell r="H58">
            <v>52946</v>
          </cell>
        </row>
        <row r="59">
          <cell r="H59">
            <v>53128</v>
          </cell>
          <cell r="I59">
            <v>39481830.799999997</v>
          </cell>
          <cell r="J59">
            <v>65898382.5</v>
          </cell>
          <cell r="K59">
            <v>238248169.20000002</v>
          </cell>
          <cell r="L59">
            <v>0</v>
          </cell>
          <cell r="M59">
            <v>343628382.5</v>
          </cell>
        </row>
        <row r="60">
          <cell r="H60">
            <v>53311</v>
          </cell>
        </row>
        <row r="61">
          <cell r="H61">
            <v>53493</v>
          </cell>
          <cell r="I61">
            <v>37983031.100000001</v>
          </cell>
          <cell r="J61">
            <v>65374876.25</v>
          </cell>
          <cell r="K61">
            <v>240266968.90000001</v>
          </cell>
          <cell r="L61">
            <v>0</v>
          </cell>
          <cell r="M61">
            <v>343624876.25</v>
          </cell>
        </row>
        <row r="62">
          <cell r="H62">
            <v>53676</v>
          </cell>
        </row>
        <row r="63">
          <cell r="H63">
            <v>53858</v>
          </cell>
          <cell r="I63">
            <v>86232354.599999994</v>
          </cell>
          <cell r="J63">
            <v>63443502.5</v>
          </cell>
          <cell r="K63">
            <v>193947645.40000001</v>
          </cell>
          <cell r="L63">
            <v>0</v>
          </cell>
          <cell r="M63">
            <v>343623502.5</v>
          </cell>
        </row>
        <row r="64">
          <cell r="H64">
            <v>54041</v>
          </cell>
        </row>
        <row r="65">
          <cell r="H65">
            <v>54224</v>
          </cell>
          <cell r="I65">
            <v>283333248</v>
          </cell>
          <cell r="J65">
            <v>57426768.75</v>
          </cell>
          <cell r="K65">
            <v>2866752</v>
          </cell>
          <cell r="L65">
            <v>0</v>
          </cell>
          <cell r="M65">
            <v>343626768.75</v>
          </cell>
        </row>
        <row r="66">
          <cell r="H66">
            <v>54407</v>
          </cell>
        </row>
        <row r="67">
          <cell r="H67">
            <v>54589</v>
          </cell>
          <cell r="I67">
            <v>294449595.30000001</v>
          </cell>
          <cell r="J67">
            <v>44289875</v>
          </cell>
          <cell r="K67">
            <v>4883964</v>
          </cell>
          <cell r="L67">
            <v>0</v>
          </cell>
          <cell r="M67">
            <v>343623434.30000001</v>
          </cell>
        </row>
        <row r="68">
          <cell r="H68">
            <v>54772</v>
          </cell>
        </row>
        <row r="69">
          <cell r="H69">
            <v>54954</v>
          </cell>
          <cell r="I69">
            <v>267161263.55000001</v>
          </cell>
          <cell r="J69">
            <v>32565125</v>
          </cell>
          <cell r="K69">
            <v>43898910.299999997</v>
          </cell>
          <cell r="L69">
            <v>0</v>
          </cell>
          <cell r="M69">
            <v>343625298.85000002</v>
          </cell>
        </row>
        <row r="70">
          <cell r="H70">
            <v>55137</v>
          </cell>
        </row>
        <row r="71">
          <cell r="H71">
            <v>55319</v>
          </cell>
          <cell r="I71">
            <v>40863853.649999999</v>
          </cell>
          <cell r="J71">
            <v>24257625</v>
          </cell>
          <cell r="K71">
            <v>282121667.85000002</v>
          </cell>
          <cell r="L71">
            <v>0</v>
          </cell>
          <cell r="M71">
            <v>347243146.5</v>
          </cell>
        </row>
        <row r="72">
          <cell r="H72">
            <v>55502</v>
          </cell>
        </row>
        <row r="73">
          <cell r="H73">
            <v>55685</v>
          </cell>
          <cell r="I73">
            <v>173573118.25</v>
          </cell>
          <cell r="J73">
            <v>23409375</v>
          </cell>
          <cell r="K73">
            <v>150258121.25</v>
          </cell>
          <cell r="L73">
            <v>0</v>
          </cell>
          <cell r="M73">
            <v>347240614.5</v>
          </cell>
        </row>
        <row r="74">
          <cell r="H74">
            <v>55868</v>
          </cell>
        </row>
        <row r="75">
          <cell r="H75">
            <v>56050</v>
          </cell>
          <cell r="I75">
            <v>154112137.69999999</v>
          </cell>
          <cell r="J75">
            <v>16334250</v>
          </cell>
          <cell r="K75">
            <v>176794160.5</v>
          </cell>
          <cell r="L75">
            <v>0</v>
          </cell>
          <cell r="M75">
            <v>347240548.19999999</v>
          </cell>
        </row>
        <row r="76">
          <cell r="H76">
            <v>56233</v>
          </cell>
        </row>
        <row r="77">
          <cell r="H77">
            <v>56415</v>
          </cell>
          <cell r="I77">
            <v>68697912.650000006</v>
          </cell>
          <cell r="J77">
            <v>9500250</v>
          </cell>
          <cell r="K77">
            <v>269045344.5</v>
          </cell>
          <cell r="L77">
            <v>0</v>
          </cell>
          <cell r="M77">
            <v>347243507.14999998</v>
          </cell>
        </row>
        <row r="78">
          <cell r="H78">
            <v>56598</v>
          </cell>
        </row>
        <row r="79">
          <cell r="H79">
            <v>56780</v>
          </cell>
          <cell r="I79">
            <v>66383106.799999997</v>
          </cell>
          <cell r="J79">
            <v>8500250</v>
          </cell>
          <cell r="K79">
            <v>272361222.80000001</v>
          </cell>
          <cell r="L79">
            <v>0</v>
          </cell>
          <cell r="M79">
            <v>347244579.60000002</v>
          </cell>
        </row>
        <row r="80">
          <cell r="H80">
            <v>56963</v>
          </cell>
        </row>
        <row r="81">
          <cell r="H81">
            <v>57146</v>
          </cell>
          <cell r="I81">
            <v>69562466.799999997</v>
          </cell>
          <cell r="J81">
            <v>7000250</v>
          </cell>
          <cell r="K81">
            <v>270677986.60000002</v>
          </cell>
          <cell r="L81">
            <v>0</v>
          </cell>
          <cell r="M81">
            <v>347240703.40000004</v>
          </cell>
        </row>
        <row r="82">
          <cell r="H82">
            <v>57329</v>
          </cell>
        </row>
        <row r="83">
          <cell r="H83">
            <v>57511</v>
          </cell>
          <cell r="I83">
            <v>165361670.25</v>
          </cell>
          <cell r="J83">
            <v>6468625</v>
          </cell>
          <cell r="K83">
            <v>175418329.75</v>
          </cell>
          <cell r="L83">
            <v>0</v>
          </cell>
          <cell r="M83">
            <v>347248625</v>
          </cell>
        </row>
        <row r="84">
          <cell r="H84">
            <v>57694</v>
          </cell>
        </row>
        <row r="85">
          <cell r="H85">
            <v>57876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H86">
            <v>58059</v>
          </cell>
        </row>
        <row r="87">
          <cell r="H87">
            <v>58241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H88">
            <v>58424</v>
          </cell>
        </row>
        <row r="89">
          <cell r="H89">
            <v>58607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I91">
            <v>3114579234.2000003</v>
          </cell>
          <cell r="J91">
            <v>2481348446.1999998</v>
          </cell>
          <cell r="K91">
            <v>6514430454.9000006</v>
          </cell>
          <cell r="L91">
            <v>0</v>
          </cell>
          <cell r="M91">
            <v>12110358135.299999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28515625" defaultRowHeight="13.8" x14ac:dyDescent="0.25"/>
  <cols>
    <col min="1" max="1" width="9.28515625" style="15"/>
    <col min="2" max="2" width="17.85546875" style="15" customWidth="1"/>
    <col min="3" max="3" width="13.42578125" style="15" customWidth="1"/>
    <col min="4" max="4" width="7" style="15" customWidth="1"/>
    <col min="5" max="5" width="1.140625" style="15" customWidth="1"/>
    <col min="6" max="6" width="7" style="15" customWidth="1"/>
    <col min="7" max="7" width="1.140625" style="15" customWidth="1"/>
    <col min="8" max="9" width="13.140625" style="15" customWidth="1"/>
    <col min="10" max="12" width="7" style="15" customWidth="1"/>
    <col min="13" max="16384" width="9.28515625" style="15"/>
  </cols>
  <sheetData>
    <row r="3" spans="2:13" ht="20.399999999999999" x14ac:dyDescent="0.35">
      <c r="B3" s="27" t="e">
        <v>#VALUE!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2:13" x14ac:dyDescent="0.25">
      <c r="B5" s="46" t="e">
        <v>#VALUE!</v>
      </c>
      <c r="G5" s="15" t="e">
        <v>#VALUE!</v>
      </c>
    </row>
    <row r="7" spans="2:13" x14ac:dyDescent="0.25">
      <c r="B7" s="15" t="e">
        <v>#VALUE!</v>
      </c>
      <c r="D7" s="16"/>
      <c r="F7" s="15" t="e">
        <v>#VALUE!</v>
      </c>
      <c r="K7" s="16" t="e">
        <v>#VALUE!</v>
      </c>
      <c r="L7" s="31"/>
      <c r="M7" s="31"/>
    </row>
    <row r="9" spans="2:13" x14ac:dyDescent="0.25">
      <c r="B9" s="15" t="e">
        <v>#VALUE!</v>
      </c>
      <c r="F9" s="16" t="e">
        <v>#VALUE!</v>
      </c>
      <c r="H9" s="15" t="e">
        <v>#VALUE!</v>
      </c>
      <c r="J9" s="17"/>
    </row>
    <row r="11" spans="2:13" x14ac:dyDescent="0.25">
      <c r="B11" s="15" t="e">
        <v>#VALUE!</v>
      </c>
      <c r="C11" s="17" t="e">
        <v>#VALUE!</v>
      </c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spans="2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</row>
    <row r="14" spans="2:13" x14ac:dyDescent="0.25">
      <c r="B14" s="15" t="e">
        <v>#VALUE!</v>
      </c>
      <c r="C14" s="17" t="e">
        <v>#VALUE!</v>
      </c>
      <c r="D14" s="17"/>
      <c r="E14" s="17"/>
      <c r="F14" s="17"/>
      <c r="G14" s="17"/>
      <c r="H14" s="17"/>
      <c r="I14" s="17"/>
      <c r="J14" s="17"/>
      <c r="K14" s="17"/>
      <c r="L14" s="17"/>
      <c r="M14" s="16"/>
    </row>
    <row r="16" spans="2:13" x14ac:dyDescent="0.25">
      <c r="B16" s="15" t="e">
        <v>#VALUE!</v>
      </c>
      <c r="C16" s="18">
        <v>43809</v>
      </c>
      <c r="D16" s="19"/>
      <c r="E16" s="19"/>
      <c r="F16" s="19" t="e">
        <v>#VALUE!</v>
      </c>
      <c r="G16" s="19"/>
      <c r="H16" s="19"/>
      <c r="I16" s="19"/>
      <c r="J16" s="20" t="e">
        <v>#VALUE!</v>
      </c>
      <c r="K16" s="17"/>
      <c r="L16" s="17"/>
      <c r="M16" s="16"/>
    </row>
    <row r="18" spans="2:13" x14ac:dyDescent="0.25">
      <c r="B18" s="15" t="e">
        <v>#VALUE!</v>
      </c>
      <c r="D18" s="17" t="e">
        <v>#VALUE!</v>
      </c>
      <c r="E18" s="17"/>
      <c r="F18" s="17"/>
      <c r="G18" s="17"/>
      <c r="H18" s="17"/>
      <c r="I18" s="17"/>
      <c r="J18" s="17"/>
      <c r="K18" s="17"/>
      <c r="L18" s="17"/>
      <c r="M18" s="16"/>
    </row>
    <row r="19" spans="2:13" x14ac:dyDescent="0.25">
      <c r="D19" s="17" t="e">
        <v>#VALUE!</v>
      </c>
      <c r="E19" s="17"/>
      <c r="F19" s="17"/>
      <c r="G19" s="17"/>
      <c r="H19" s="17"/>
      <c r="I19" s="17"/>
      <c r="J19" s="17"/>
      <c r="K19" s="17"/>
      <c r="L19" s="17"/>
      <c r="M19" s="16"/>
    </row>
    <row r="20" spans="2:13" x14ac:dyDescent="0.25">
      <c r="D20" s="32"/>
      <c r="E20" s="32"/>
      <c r="F20" s="32"/>
      <c r="G20" s="32"/>
      <c r="H20" s="32"/>
      <c r="I20" s="32"/>
      <c r="J20" s="32"/>
      <c r="K20" s="32"/>
      <c r="L20" s="32"/>
      <c r="M20" s="30"/>
    </row>
    <row r="21" spans="2:13" x14ac:dyDescent="0.25">
      <c r="D21" s="32"/>
      <c r="E21" s="32"/>
      <c r="F21" s="32"/>
      <c r="G21" s="32"/>
      <c r="H21" s="32"/>
      <c r="I21" s="32"/>
      <c r="J21" s="32"/>
      <c r="K21" s="32"/>
      <c r="L21" s="32"/>
      <c r="M21" s="30"/>
    </row>
    <row r="22" spans="2:13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2:13" x14ac:dyDescent="0.25">
      <c r="B23" s="15" t="e">
        <v>#VALUE!</v>
      </c>
      <c r="D23" s="21" t="e">
        <v>#VALUE!</v>
      </c>
      <c r="E23" s="17"/>
      <c r="F23" s="17"/>
      <c r="G23" s="17"/>
      <c r="H23" s="17"/>
      <c r="I23" s="17"/>
    </row>
    <row r="25" spans="2:13" x14ac:dyDescent="0.25">
      <c r="B25" s="15" t="e">
        <v>#VALUE!</v>
      </c>
      <c r="C25" s="23">
        <v>51302</v>
      </c>
      <c r="D25" s="25"/>
      <c r="E25" s="26"/>
      <c r="F25" s="26"/>
      <c r="G25" s="19"/>
      <c r="H25" s="19"/>
    </row>
    <row r="26" spans="2:13" x14ac:dyDescent="0.25">
      <c r="C26" s="24"/>
      <c r="D26" s="19"/>
      <c r="E26" s="19"/>
      <c r="F26" s="19"/>
      <c r="G26" s="19"/>
      <c r="H26" s="19"/>
    </row>
    <row r="27" spans="2:13" x14ac:dyDescent="0.25">
      <c r="B27" s="15" t="e">
        <v>#VALUE!</v>
      </c>
      <c r="C27" s="23">
        <v>43809</v>
      </c>
      <c r="D27" s="25"/>
      <c r="E27" s="26"/>
      <c r="F27" s="26"/>
      <c r="G27" s="19"/>
      <c r="H27" s="19"/>
    </row>
    <row r="28" spans="2:13" x14ac:dyDescent="0.25">
      <c r="D28" s="19"/>
      <c r="E28" s="19"/>
      <c r="F28" s="19"/>
      <c r="G28" s="19"/>
      <c r="H28" s="19"/>
    </row>
    <row r="29" spans="2:13" x14ac:dyDescent="0.25">
      <c r="B29" s="15" t="e">
        <v>#VALUE!</v>
      </c>
      <c r="H29" s="22">
        <v>44180</v>
      </c>
    </row>
    <row r="30" spans="2:13" x14ac:dyDescent="0.25">
      <c r="B30" s="15" t="e">
        <v>#VALUE!</v>
      </c>
      <c r="H30" s="22">
        <f>C25</f>
        <v>51302</v>
      </c>
    </row>
    <row r="32" spans="2:13" x14ac:dyDescent="0.25">
      <c r="B32" s="15" t="e">
        <v>#VALUE!</v>
      </c>
      <c r="H32" s="22">
        <v>43997</v>
      </c>
    </row>
    <row r="33" spans="2:13" x14ac:dyDescent="0.25">
      <c r="B33" s="15" t="e">
        <v>#VALUE!</v>
      </c>
      <c r="H33" s="22">
        <f>H30</f>
        <v>51302</v>
      </c>
    </row>
    <row r="36" spans="2:13" x14ac:dyDescent="0.25">
      <c r="D36" s="28" t="e">
        <v>#VALUE!</v>
      </c>
      <c r="F36" s="15" t="e">
        <v>#VALUE!</v>
      </c>
    </row>
    <row r="37" spans="2:13" x14ac:dyDescent="0.25">
      <c r="D37" s="29"/>
    </row>
    <row r="38" spans="2:13" x14ac:dyDescent="0.25">
      <c r="D38" s="28"/>
      <c r="F38" s="15" t="e">
        <v>#VALUE!</v>
      </c>
    </row>
    <row r="39" spans="2:13" x14ac:dyDescent="0.25">
      <c r="D39" s="29"/>
    </row>
    <row r="40" spans="2:13" x14ac:dyDescent="0.25">
      <c r="D40" s="28" t="e">
        <v>#VALUE!</v>
      </c>
      <c r="F40" s="15" t="e">
        <v>#VALUE!</v>
      </c>
    </row>
    <row r="41" spans="2:13" x14ac:dyDescent="0.25">
      <c r="D41" s="31"/>
      <c r="F41" s="15" t="e">
        <v>#VALUE!</v>
      </c>
    </row>
    <row r="42" spans="2:13" x14ac:dyDescent="0.25">
      <c r="D42" s="29"/>
    </row>
    <row r="43" spans="2:13" x14ac:dyDescent="0.25">
      <c r="D43" s="15" t="e">
        <v>#VALUE!</v>
      </c>
    </row>
    <row r="44" spans="2:13" x14ac:dyDescent="0.25">
      <c r="D44" s="15" t="e">
        <v>#VALUE!</v>
      </c>
    </row>
    <row r="47" spans="2:13" x14ac:dyDescent="0.25">
      <c r="H47" s="15" t="e">
        <v>#VALUE!</v>
      </c>
      <c r="J47" s="17"/>
      <c r="K47" s="17"/>
      <c r="L47" s="17"/>
      <c r="M47" s="17"/>
    </row>
    <row r="48" spans="2:13" x14ac:dyDescent="0.25">
      <c r="H48" s="15" t="e">
        <v>#VALUE!</v>
      </c>
      <c r="J48" s="228" t="e">
        <v>#VALUE!</v>
      </c>
      <c r="K48" s="228"/>
      <c r="L48" s="228"/>
      <c r="M48" s="228"/>
    </row>
    <row r="49" spans="2:13" x14ac:dyDescent="0.25">
      <c r="H49" s="15" t="e">
        <v>#VALUE!</v>
      </c>
      <c r="J49" s="229">
        <v>43850</v>
      </c>
      <c r="K49" s="228">
        <v>42613</v>
      </c>
      <c r="L49" s="228"/>
      <c r="M49" s="228"/>
    </row>
    <row r="50" spans="2:13" x14ac:dyDescent="0.25">
      <c r="H50" s="15" t="e">
        <v>#VALUE!</v>
      </c>
      <c r="J50" s="228" t="e">
        <v>#VALUE!</v>
      </c>
      <c r="K50" s="228" t="e">
        <v>#VALUE!</v>
      </c>
      <c r="L50" s="228"/>
      <c r="M50" s="228"/>
    </row>
    <row r="52" spans="2:13" x14ac:dyDescent="0.25">
      <c r="B52" s="15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D99"/>
  <sheetViews>
    <sheetView zoomScale="70" zoomScaleNormal="70" workbookViewId="0">
      <selection activeCell="J41" sqref="J41"/>
    </sheetView>
  </sheetViews>
  <sheetFormatPr defaultColWidth="10.7109375" defaultRowHeight="13.2" x14ac:dyDescent="0.25"/>
  <cols>
    <col min="1" max="1" width="10.7109375" style="39" customWidth="1"/>
    <col min="2" max="2" width="15.140625" style="39" customWidth="1"/>
    <col min="3" max="3" width="2.85546875" style="39" customWidth="1"/>
    <col min="4" max="4" width="16.42578125" style="39" customWidth="1"/>
    <col min="5" max="7" width="19" style="39" bestFit="1" customWidth="1"/>
    <col min="8" max="8" width="17.140625" style="39" customWidth="1"/>
    <col min="9" max="10" width="20.42578125" style="39" bestFit="1" customWidth="1"/>
    <col min="11" max="11" width="4.85546875" style="39" customWidth="1"/>
    <col min="12" max="12" width="17" style="39" customWidth="1"/>
    <col min="13" max="13" width="17.28515625" style="39" bestFit="1" customWidth="1"/>
    <col min="14" max="14" width="12.85546875" style="39" bestFit="1" customWidth="1"/>
    <col min="15" max="16" width="17.28515625" style="39" bestFit="1" customWidth="1"/>
    <col min="17" max="17" width="17.28515625" style="39" customWidth="1"/>
    <col min="18" max="18" width="19.140625" style="39" bestFit="1" customWidth="1"/>
    <col min="19" max="19" width="4.85546875" style="39" customWidth="1"/>
    <col min="20" max="20" width="17" style="39" customWidth="1"/>
    <col min="21" max="21" width="17.28515625" style="39" bestFit="1" customWidth="1"/>
    <col min="22" max="22" width="10" style="39" customWidth="1"/>
    <col min="23" max="24" width="17.28515625" style="39" bestFit="1" customWidth="1"/>
    <col min="25" max="25" width="17.28515625" style="39" customWidth="1"/>
    <col min="26" max="26" width="19.140625" style="39" bestFit="1" customWidth="1"/>
    <col min="27" max="27" width="4.85546875" style="39" customWidth="1"/>
    <col min="28" max="28" width="17" style="39" customWidth="1"/>
    <col min="29" max="29" width="17.28515625" style="39" bestFit="1" customWidth="1"/>
    <col min="30" max="30" width="10" style="39" customWidth="1"/>
    <col min="31" max="32" width="17.28515625" style="39" bestFit="1" customWidth="1"/>
    <col min="33" max="33" width="17.28515625" style="39" customWidth="1"/>
    <col min="34" max="34" width="19.140625" style="39" bestFit="1" customWidth="1"/>
    <col min="35" max="35" width="4.85546875" style="39" customWidth="1"/>
    <col min="36" max="36" width="17" style="39" customWidth="1"/>
    <col min="37" max="37" width="17.28515625" style="39" bestFit="1" customWidth="1"/>
    <col min="38" max="38" width="10" style="39" customWidth="1"/>
    <col min="39" max="40" width="17.28515625" style="39" bestFit="1" customWidth="1"/>
    <col min="41" max="41" width="17.28515625" style="39" customWidth="1"/>
    <col min="42" max="42" width="19.140625" style="39" bestFit="1" customWidth="1"/>
    <col min="43" max="43" width="4.85546875" style="39" customWidth="1"/>
    <col min="44" max="44" width="17" style="39" customWidth="1"/>
    <col min="45" max="45" width="17.28515625" style="39" bestFit="1" customWidth="1"/>
    <col min="46" max="46" width="10" style="39" customWidth="1"/>
    <col min="47" max="47" width="17.28515625" style="39" bestFit="1" customWidth="1"/>
    <col min="48" max="48" width="10" style="39" customWidth="1"/>
    <col min="49" max="50" width="17.28515625" style="39" bestFit="1" customWidth="1"/>
    <col min="51" max="51" width="17.28515625" style="39" customWidth="1"/>
    <col min="52" max="52" width="19.140625" style="39" bestFit="1" customWidth="1"/>
    <col min="53" max="53" width="4.85546875" style="39" customWidth="1"/>
    <col min="54" max="54" width="17" style="39" customWidth="1"/>
    <col min="55" max="55" width="17.28515625" style="39" bestFit="1" customWidth="1"/>
    <col min="56" max="56" width="11.7109375" style="39" customWidth="1"/>
    <col min="57" max="58" width="17.28515625" style="39" bestFit="1" customWidth="1"/>
    <col min="59" max="59" width="19.140625" style="39" bestFit="1" customWidth="1"/>
    <col min="60" max="60" width="4.85546875" style="39" customWidth="1"/>
    <col min="61" max="61" width="17" style="39" customWidth="1"/>
    <col min="62" max="62" width="17.28515625" style="39" bestFit="1" customWidth="1"/>
    <col min="63" max="63" width="11.7109375" style="39" customWidth="1"/>
    <col min="64" max="65" width="17.28515625" style="39" bestFit="1" customWidth="1"/>
    <col min="66" max="66" width="19.140625" style="39" bestFit="1" customWidth="1"/>
    <col min="67" max="67" width="4.85546875" style="39" customWidth="1"/>
    <col min="68" max="68" width="17" style="39" customWidth="1"/>
    <col min="69" max="69" width="17.28515625" style="39" bestFit="1" customWidth="1"/>
    <col min="70" max="70" width="11.7109375" style="39" customWidth="1"/>
    <col min="71" max="72" width="17.28515625" style="39" bestFit="1" customWidth="1"/>
    <col min="73" max="73" width="19.140625" style="39" bestFit="1" customWidth="1"/>
    <col min="74" max="74" width="5.140625" style="39" customWidth="1"/>
    <col min="75" max="75" width="17" style="39" customWidth="1"/>
    <col min="76" max="76" width="17.28515625" style="39" bestFit="1" customWidth="1"/>
    <col min="77" max="77" width="11.7109375" style="39" customWidth="1"/>
    <col min="78" max="79" width="17.28515625" style="39" bestFit="1" customWidth="1"/>
    <col min="80" max="80" width="19.140625" style="39" bestFit="1" customWidth="1"/>
    <col min="81" max="81" width="5.140625" style="39" customWidth="1"/>
    <col min="82" max="82" width="18.140625" style="39" customWidth="1"/>
    <col min="83" max="83" width="15.85546875" style="39" bestFit="1" customWidth="1"/>
    <col min="84" max="84" width="11.7109375" style="39" customWidth="1"/>
    <col min="85" max="85" width="16.140625" style="39" customWidth="1"/>
    <col min="86" max="86" width="17.28515625" style="39" bestFit="1" customWidth="1"/>
    <col min="87" max="87" width="5.140625" style="39" customWidth="1"/>
    <col min="88" max="88" width="18.140625" style="39" customWidth="1"/>
    <col min="89" max="89" width="15.85546875" style="39" bestFit="1" customWidth="1"/>
    <col min="90" max="90" width="9.28515625" style="39" customWidth="1"/>
    <col min="91" max="91" width="16.140625" style="39" customWidth="1"/>
    <col min="92" max="92" width="17.28515625" style="39" bestFit="1" customWidth="1"/>
    <col min="93" max="93" width="5.140625" style="39" customWidth="1"/>
    <col min="94" max="94" width="17" style="39" customWidth="1"/>
    <col min="95" max="95" width="17.28515625" style="39" bestFit="1" customWidth="1"/>
    <col min="96" max="96" width="10.28515625" style="39" customWidth="1"/>
    <col min="97" max="98" width="17.28515625" style="39" bestFit="1" customWidth="1"/>
    <col min="99" max="99" width="19.140625" style="39" bestFit="1" customWidth="1"/>
    <col min="100" max="100" width="5.140625" style="39" hidden="1" customWidth="1"/>
    <col min="101" max="101" width="15.7109375" style="39" hidden="1" customWidth="1"/>
    <col min="102" max="102" width="15" style="39" hidden="1" customWidth="1"/>
    <col min="103" max="103" width="11.7109375" style="39" hidden="1" customWidth="1"/>
    <col min="104" max="104" width="11.42578125" style="39" hidden="1" customWidth="1"/>
    <col min="105" max="105" width="14.28515625" style="39" hidden="1" customWidth="1"/>
    <col min="106" max="106" width="15" style="39" hidden="1" customWidth="1"/>
    <col min="107" max="107" width="5.140625" style="39" customWidth="1"/>
    <col min="108" max="108" width="20.28515625" style="39" customWidth="1"/>
    <col min="109" max="109" width="17.28515625" style="39" bestFit="1" customWidth="1"/>
    <col min="110" max="110" width="9.28515625" style="39" customWidth="1"/>
    <col min="111" max="111" width="17.28515625" style="39" bestFit="1" customWidth="1"/>
    <col min="112" max="112" width="9.28515625" style="39" customWidth="1"/>
    <col min="113" max="113" width="17.28515625" style="39" bestFit="1" customWidth="1"/>
    <col min="114" max="114" width="9.28515625" style="39" customWidth="1"/>
    <col min="115" max="115" width="17.28515625" style="39" bestFit="1" customWidth="1"/>
    <col min="116" max="116" width="9.28515625" style="39" customWidth="1"/>
    <col min="117" max="119" width="19.140625" style="39" bestFit="1" customWidth="1"/>
    <col min="120" max="120" width="5.140625" style="39" customWidth="1"/>
    <col min="121" max="121" width="18.85546875" style="39" customWidth="1"/>
    <col min="122" max="122" width="17.140625" style="39" customWidth="1"/>
    <col min="123" max="123" width="10.42578125" style="39" customWidth="1"/>
    <col min="124" max="124" width="18.28515625" style="39" customWidth="1"/>
    <col min="125" max="125" width="17.85546875" style="39" customWidth="1"/>
    <col min="126" max="126" width="4.85546875" style="39" customWidth="1"/>
    <col min="127" max="127" width="16.28515625" style="39" customWidth="1"/>
    <col min="128" max="128" width="17.28515625" style="39" bestFit="1" customWidth="1"/>
    <col min="129" max="129" width="9.85546875" style="39" customWidth="1"/>
    <col min="130" max="130" width="17" style="39" customWidth="1"/>
    <col min="131" max="132" width="19.140625" style="39" bestFit="1" customWidth="1"/>
    <col min="133" max="133" width="4.85546875" style="39" customWidth="1"/>
    <col min="134" max="134" width="18.140625" style="39" customWidth="1"/>
    <col min="135" max="135" width="16.140625" style="39" customWidth="1"/>
    <col min="136" max="136" width="10.28515625" style="39" customWidth="1"/>
    <col min="137" max="137" width="17.140625" style="39" customWidth="1"/>
    <col min="138" max="139" width="16.140625" style="39" customWidth="1"/>
    <col min="140" max="140" width="10.7109375" style="39" hidden="1" customWidth="1"/>
    <col min="141" max="141" width="18.7109375" style="39" hidden="1" customWidth="1"/>
    <col min="142" max="142" width="15.85546875" style="39" hidden="1" customWidth="1"/>
    <col min="143" max="143" width="9.28515625" style="39" hidden="1" customWidth="1"/>
    <col min="144" max="144" width="13.85546875" style="39" hidden="1" customWidth="1"/>
    <col min="145" max="145" width="15.85546875" style="39" hidden="1" customWidth="1"/>
    <col min="146" max="146" width="4.85546875" style="39" customWidth="1"/>
    <col min="147" max="147" width="19.28515625" style="39" customWidth="1"/>
    <col min="148" max="148" width="15" style="39" customWidth="1"/>
    <col min="149" max="149" width="9.28515625" style="39" customWidth="1"/>
    <col min="150" max="150" width="15" style="39" customWidth="1"/>
    <col min="151" max="151" width="16.140625" style="39" customWidth="1"/>
    <col min="152" max="152" width="4.85546875" style="39" customWidth="1"/>
    <col min="153" max="153" width="21.140625" style="39" customWidth="1"/>
    <col min="154" max="154" width="16.7109375" style="39" customWidth="1"/>
    <col min="155" max="155" width="9.28515625" style="39" customWidth="1"/>
    <col min="156" max="156" width="18" style="39" customWidth="1"/>
    <col min="157" max="157" width="17.140625" style="39" customWidth="1"/>
    <col min="158" max="158" width="4.85546875" style="39" customWidth="1"/>
    <col min="159" max="159" width="20.42578125" style="39" customWidth="1"/>
    <col min="160" max="160" width="16.42578125" style="39" customWidth="1"/>
    <col min="161" max="161" width="9.28515625" style="39" customWidth="1"/>
    <col min="162" max="162" width="12" style="39" bestFit="1" customWidth="1"/>
    <col min="163" max="163" width="18.28515625" style="39" customWidth="1"/>
    <col min="164" max="164" width="19.28515625" style="39" customWidth="1"/>
    <col min="165" max="165" width="10.7109375" style="39" customWidth="1"/>
    <col min="166" max="166" width="20" style="39" customWidth="1"/>
    <col min="167" max="167" width="17.140625" style="39" customWidth="1"/>
    <col min="168" max="168" width="9.28515625" style="39" customWidth="1"/>
    <col min="169" max="169" width="9" style="39" customWidth="1"/>
    <col min="170" max="170" width="19" style="39" customWidth="1"/>
    <col min="171" max="171" width="17.42578125" style="39" customWidth="1"/>
    <col min="172" max="172" width="4.85546875" style="39" customWidth="1"/>
    <col min="173" max="173" width="18" style="39" customWidth="1"/>
    <col min="174" max="174" width="16.7109375" style="39" customWidth="1"/>
    <col min="175" max="175" width="9.28515625" style="39" customWidth="1"/>
    <col min="176" max="176" width="9" style="39" customWidth="1"/>
    <col min="177" max="177" width="17" style="39" customWidth="1"/>
    <col min="178" max="178" width="17.140625" style="39" customWidth="1"/>
    <col min="179" max="179" width="4.85546875" style="39" customWidth="1"/>
    <col min="180" max="180" width="19.140625" style="39" customWidth="1"/>
    <col min="181" max="181" width="16.42578125" style="39" customWidth="1"/>
    <col min="182" max="182" width="9.28515625" style="39" customWidth="1"/>
    <col min="183" max="183" width="13.28515625" style="39" customWidth="1"/>
    <col min="184" max="185" width="18" style="39" customWidth="1"/>
    <col min="186" max="186" width="14.140625" style="100" bestFit="1" customWidth="1"/>
    <col min="187" max="16384" width="10.7109375" style="39"/>
  </cols>
  <sheetData>
    <row r="2" spans="1:18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S2" s="64"/>
      <c r="AA2" s="64"/>
      <c r="AI2" s="64"/>
      <c r="AQ2" s="64"/>
      <c r="BA2" s="64"/>
      <c r="BH2" s="64"/>
      <c r="BO2" s="64"/>
      <c r="BV2" s="64"/>
      <c r="CC2" s="64"/>
      <c r="CD2" s="64"/>
      <c r="CE2" s="64"/>
      <c r="CG2" s="64"/>
      <c r="CH2" s="64"/>
      <c r="CI2" s="64"/>
      <c r="CJ2" s="64"/>
      <c r="CK2" s="64"/>
      <c r="CL2" s="64"/>
      <c r="CM2" s="64"/>
      <c r="CN2" s="64"/>
    </row>
    <row r="4" spans="1:185" x14ac:dyDescent="0.25">
      <c r="DV4" s="151"/>
      <c r="EC4" s="151"/>
      <c r="EJ4" s="151"/>
      <c r="EP4" s="151"/>
      <c r="EV4" s="151"/>
      <c r="FB4" s="151"/>
    </row>
    <row r="5" spans="1:185" x14ac:dyDescent="0.25">
      <c r="B5" s="70"/>
      <c r="C5" s="70"/>
      <c r="D5" s="68" t="s">
        <v>43</v>
      </c>
      <c r="E5" s="69"/>
      <c r="F5" s="69"/>
      <c r="G5" s="69"/>
      <c r="H5" s="69"/>
      <c r="I5" s="69"/>
      <c r="J5" s="69"/>
      <c r="L5" s="68" t="s">
        <v>43</v>
      </c>
      <c r="M5" s="69"/>
      <c r="N5" s="69"/>
      <c r="O5" s="69"/>
      <c r="P5" s="69"/>
      <c r="Q5" s="69"/>
      <c r="R5" s="69"/>
      <c r="T5" s="68" t="s">
        <v>43</v>
      </c>
      <c r="U5" s="69"/>
      <c r="V5" s="69"/>
      <c r="W5" s="69"/>
      <c r="X5" s="69"/>
      <c r="Y5" s="69"/>
      <c r="Z5" s="69"/>
      <c r="AB5" s="68" t="s">
        <v>43</v>
      </c>
      <c r="AC5" s="69"/>
      <c r="AD5" s="69"/>
      <c r="AE5" s="69"/>
      <c r="AF5" s="69"/>
      <c r="AG5" s="69"/>
      <c r="AH5" s="69"/>
      <c r="AJ5" s="68" t="s">
        <v>43</v>
      </c>
      <c r="AK5" s="69"/>
      <c r="AL5" s="69"/>
      <c r="AM5" s="69"/>
      <c r="AN5" s="69"/>
      <c r="AO5" s="69"/>
      <c r="AP5" s="69"/>
      <c r="AR5" s="68" t="s">
        <v>43</v>
      </c>
      <c r="AS5" s="69"/>
      <c r="AT5" s="69"/>
      <c r="AU5" s="69"/>
      <c r="AV5" s="69"/>
      <c r="AW5" s="69"/>
      <c r="AX5" s="69"/>
      <c r="AY5" s="69"/>
      <c r="AZ5" s="69"/>
      <c r="BB5" s="68" t="s">
        <v>43</v>
      </c>
      <c r="BC5" s="69"/>
      <c r="BD5" s="69"/>
      <c r="BE5" s="69"/>
      <c r="BF5" s="69"/>
      <c r="BG5" s="69"/>
      <c r="BI5" s="68" t="s">
        <v>43</v>
      </c>
      <c r="BJ5" s="69"/>
      <c r="BK5" s="69"/>
      <c r="BL5" s="69"/>
      <c r="BM5" s="69"/>
      <c r="BN5" s="69"/>
      <c r="BP5" s="68" t="s">
        <v>43</v>
      </c>
      <c r="BQ5" s="69"/>
      <c r="BR5" s="69"/>
      <c r="BS5" s="69"/>
      <c r="BT5" s="69"/>
      <c r="BU5" s="69"/>
      <c r="BW5" s="68" t="s">
        <v>43</v>
      </c>
      <c r="BX5" s="69"/>
      <c r="BY5" s="69"/>
      <c r="BZ5" s="69"/>
      <c r="CA5" s="69"/>
      <c r="CB5" s="69"/>
      <c r="CD5" s="68" t="s">
        <v>43</v>
      </c>
      <c r="CE5" s="69"/>
      <c r="CF5" s="69"/>
      <c r="CG5" s="69"/>
      <c r="CH5" s="69"/>
      <c r="CJ5" s="68" t="s">
        <v>43</v>
      </c>
      <c r="CK5" s="69"/>
      <c r="CL5" s="69"/>
      <c r="CM5" s="69"/>
      <c r="CN5" s="69"/>
      <c r="CP5" s="68" t="s">
        <v>43</v>
      </c>
      <c r="CQ5" s="69"/>
      <c r="CR5" s="69"/>
      <c r="CS5" s="69"/>
      <c r="CT5" s="69"/>
      <c r="CU5" s="69"/>
      <c r="CW5" s="68" t="s">
        <v>43</v>
      </c>
      <c r="CX5" s="69"/>
      <c r="CY5" s="69"/>
      <c r="CZ5" s="69"/>
      <c r="DA5" s="69"/>
      <c r="DB5" s="69"/>
      <c r="DD5" s="68" t="s">
        <v>43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Q5" s="68" t="s">
        <v>43</v>
      </c>
      <c r="DR5" s="69"/>
      <c r="DS5" s="69"/>
      <c r="DT5" s="69"/>
      <c r="DU5" s="69"/>
      <c r="DV5" s="151"/>
      <c r="DW5" s="68" t="s">
        <v>43</v>
      </c>
      <c r="DX5" s="69"/>
      <c r="DY5" s="69"/>
      <c r="DZ5" s="69"/>
      <c r="EA5" s="69"/>
      <c r="EB5" s="69"/>
      <c r="EC5" s="151"/>
      <c r="ED5" s="68" t="s">
        <v>43</v>
      </c>
      <c r="EE5" s="69"/>
      <c r="EF5" s="69"/>
      <c r="EG5" s="69"/>
      <c r="EH5" s="69"/>
      <c r="EI5" s="69"/>
      <c r="EJ5" s="151"/>
      <c r="EK5" s="68" t="s">
        <v>43</v>
      </c>
      <c r="EL5" s="69"/>
      <c r="EM5" s="69"/>
      <c r="EN5" s="69"/>
      <c r="EO5" s="69"/>
      <c r="EP5" s="151"/>
      <c r="EQ5" s="68" t="s">
        <v>43</v>
      </c>
      <c r="ER5" s="69"/>
      <c r="ES5" s="69"/>
      <c r="ET5" s="69"/>
      <c r="EU5" s="69"/>
      <c r="EV5" s="151"/>
      <c r="EW5" s="68" t="s">
        <v>43</v>
      </c>
      <c r="EX5" s="69"/>
      <c r="EY5" s="69"/>
      <c r="EZ5" s="69"/>
      <c r="FA5" s="69"/>
      <c r="FB5" s="151"/>
      <c r="FC5" s="68" t="s">
        <v>43</v>
      </c>
      <c r="FD5" s="69"/>
      <c r="FE5" s="69"/>
      <c r="FF5" s="69"/>
      <c r="FG5" s="69"/>
      <c r="FH5" s="69"/>
      <c r="FJ5" s="68" t="s">
        <v>43</v>
      </c>
      <c r="FK5" s="69"/>
      <c r="FL5" s="69"/>
      <c r="FM5" s="69"/>
      <c r="FN5" s="69"/>
      <c r="FO5" s="69"/>
      <c r="FQ5" s="68" t="s">
        <v>43</v>
      </c>
      <c r="FR5" s="69"/>
      <c r="FS5" s="69"/>
      <c r="FT5" s="69"/>
      <c r="FU5" s="69"/>
      <c r="FV5" s="69"/>
      <c r="FX5" s="68" t="s">
        <v>43</v>
      </c>
      <c r="FY5" s="69"/>
      <c r="FZ5" s="69"/>
      <c r="GA5" s="69"/>
      <c r="GB5" s="69"/>
      <c r="GC5" s="69"/>
    </row>
    <row r="6" spans="1:185" x14ac:dyDescent="0.25">
      <c r="B6" s="72"/>
      <c r="C6" s="72"/>
      <c r="D6" s="72" t="s">
        <v>74</v>
      </c>
      <c r="E6" s="72"/>
      <c r="F6" s="72"/>
      <c r="G6" s="72"/>
      <c r="H6" s="72"/>
      <c r="I6" s="72"/>
      <c r="J6" s="72"/>
      <c r="L6" s="72" t="s">
        <v>73</v>
      </c>
      <c r="M6" s="72"/>
      <c r="N6" s="72"/>
      <c r="O6" s="72"/>
      <c r="P6" s="72"/>
      <c r="Q6" s="72"/>
      <c r="R6" s="72"/>
      <c r="T6" s="72" t="s">
        <v>73</v>
      </c>
      <c r="U6" s="72"/>
      <c r="V6" s="72"/>
      <c r="W6" s="72"/>
      <c r="X6" s="72"/>
      <c r="Y6" s="72"/>
      <c r="Z6" s="72"/>
      <c r="AB6" s="72" t="s">
        <v>73</v>
      </c>
      <c r="AC6" s="72"/>
      <c r="AD6" s="72"/>
      <c r="AE6" s="72"/>
      <c r="AF6" s="72"/>
      <c r="AG6" s="72"/>
      <c r="AH6" s="72"/>
      <c r="AJ6" s="72" t="s">
        <v>73</v>
      </c>
      <c r="AK6" s="72"/>
      <c r="AL6" s="72"/>
      <c r="AM6" s="72"/>
      <c r="AN6" s="72"/>
      <c r="AO6" s="72"/>
      <c r="AP6" s="72"/>
      <c r="AR6" s="72" t="s">
        <v>73</v>
      </c>
      <c r="AS6" s="72"/>
      <c r="AT6" s="72"/>
      <c r="AU6" s="72"/>
      <c r="AV6" s="72"/>
      <c r="AW6" s="72"/>
      <c r="AX6" s="72"/>
      <c r="AY6" s="72"/>
      <c r="AZ6" s="72"/>
      <c r="BB6" s="72" t="s">
        <v>73</v>
      </c>
      <c r="BC6" s="72"/>
      <c r="BD6" s="72"/>
      <c r="BE6" s="72"/>
      <c r="BF6" s="72"/>
      <c r="BG6" s="72"/>
      <c r="BI6" s="72" t="s">
        <v>73</v>
      </c>
      <c r="BJ6" s="72"/>
      <c r="BK6" s="72"/>
      <c r="BL6" s="72"/>
      <c r="BM6" s="72"/>
      <c r="BN6" s="72"/>
      <c r="BP6" s="72" t="s">
        <v>73</v>
      </c>
      <c r="BQ6" s="72"/>
      <c r="BR6" s="72"/>
      <c r="BS6" s="72"/>
      <c r="BT6" s="72"/>
      <c r="BU6" s="72"/>
      <c r="BW6" s="72" t="s">
        <v>73</v>
      </c>
      <c r="BX6" s="72"/>
      <c r="BY6" s="72"/>
      <c r="BZ6" s="72"/>
      <c r="CA6" s="72"/>
      <c r="CB6" s="72"/>
      <c r="CD6" s="72" t="s">
        <v>73</v>
      </c>
      <c r="CE6" s="72"/>
      <c r="CF6" s="72"/>
      <c r="CG6" s="72"/>
      <c r="CH6" s="72"/>
      <c r="CJ6" s="72" t="s">
        <v>73</v>
      </c>
      <c r="CK6" s="72"/>
      <c r="CL6" s="72"/>
      <c r="CM6" s="72"/>
      <c r="CN6" s="72"/>
      <c r="CP6" s="72" t="s">
        <v>73</v>
      </c>
      <c r="CQ6" s="72"/>
      <c r="CR6" s="72"/>
      <c r="CS6" s="72"/>
      <c r="CT6" s="72"/>
      <c r="CU6" s="72"/>
      <c r="CV6" s="151"/>
      <c r="CW6" s="72" t="s">
        <v>73</v>
      </c>
      <c r="CX6" s="72"/>
      <c r="CY6" s="72"/>
      <c r="CZ6" s="72"/>
      <c r="DA6" s="72"/>
      <c r="DB6" s="72"/>
      <c r="DC6" s="151"/>
      <c r="DD6" s="72" t="s">
        <v>73</v>
      </c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151"/>
      <c r="DQ6" s="72" t="s">
        <v>73</v>
      </c>
      <c r="DR6" s="72"/>
      <c r="DS6" s="72"/>
      <c r="DT6" s="72"/>
      <c r="DU6" s="72"/>
      <c r="DV6" s="72"/>
      <c r="DW6" s="72" t="s">
        <v>73</v>
      </c>
      <c r="DX6" s="72"/>
      <c r="DY6" s="72"/>
      <c r="DZ6" s="72"/>
      <c r="EA6" s="72"/>
      <c r="EB6" s="72"/>
      <c r="EC6" s="72"/>
      <c r="ED6" s="72" t="s">
        <v>73</v>
      </c>
      <c r="EE6" s="72"/>
      <c r="EF6" s="72"/>
      <c r="EG6" s="72"/>
      <c r="EH6" s="72"/>
      <c r="EI6" s="72"/>
      <c r="EJ6" s="72"/>
      <c r="EK6" s="72" t="s">
        <v>73</v>
      </c>
      <c r="EL6" s="72"/>
      <c r="EM6" s="72"/>
      <c r="EN6" s="72"/>
      <c r="EO6" s="72"/>
      <c r="EP6" s="72"/>
      <c r="EQ6" s="72" t="s">
        <v>73</v>
      </c>
      <c r="ER6" s="72"/>
      <c r="ES6" s="72"/>
      <c r="ET6" s="72"/>
      <c r="EU6" s="72"/>
      <c r="EV6" s="72"/>
      <c r="EW6" s="72" t="s">
        <v>73</v>
      </c>
      <c r="EX6" s="72"/>
      <c r="EY6" s="72"/>
      <c r="EZ6" s="72"/>
      <c r="FA6" s="72"/>
      <c r="FB6" s="72"/>
      <c r="FC6" s="72" t="s">
        <v>73</v>
      </c>
      <c r="FD6" s="72"/>
      <c r="FE6" s="72"/>
      <c r="FF6" s="72"/>
      <c r="FG6" s="72"/>
      <c r="FH6" s="72"/>
      <c r="FI6" s="151"/>
      <c r="FJ6" s="72" t="s">
        <v>73</v>
      </c>
      <c r="FK6" s="72"/>
      <c r="FL6" s="72"/>
      <c r="FM6" s="72"/>
      <c r="FN6" s="72"/>
      <c r="FO6" s="72"/>
      <c r="FP6" s="151"/>
      <c r="FQ6" s="72" t="s">
        <v>73</v>
      </c>
      <c r="FR6" s="72"/>
      <c r="FS6" s="72"/>
      <c r="FT6" s="72"/>
      <c r="FU6" s="72"/>
      <c r="FV6" s="72"/>
      <c r="FW6" s="151"/>
      <c r="FX6" s="72" t="s">
        <v>73</v>
      </c>
      <c r="FY6" s="72"/>
      <c r="FZ6" s="72"/>
      <c r="GA6" s="72"/>
      <c r="GB6" s="72"/>
      <c r="GC6" s="72"/>
    </row>
    <row r="7" spans="1:185" x14ac:dyDescent="0.25">
      <c r="B7" s="72"/>
      <c r="C7" s="72"/>
      <c r="D7" s="72" t="s">
        <v>50</v>
      </c>
      <c r="E7" s="72"/>
      <c r="F7" s="72"/>
      <c r="G7" s="72"/>
      <c r="H7" s="72"/>
      <c r="I7" s="72"/>
      <c r="J7" s="72"/>
      <c r="L7" s="71" t="s">
        <v>109</v>
      </c>
      <c r="M7" s="72"/>
      <c r="N7" s="72"/>
      <c r="O7" s="72"/>
      <c r="P7" s="72"/>
      <c r="Q7" s="72"/>
      <c r="R7" s="72"/>
      <c r="T7" s="71" t="s">
        <v>111</v>
      </c>
      <c r="U7" s="72"/>
      <c r="V7" s="72"/>
      <c r="W7" s="72"/>
      <c r="X7" s="72"/>
      <c r="Y7" s="72"/>
      <c r="Z7" s="72"/>
      <c r="AB7" s="71" t="s">
        <v>110</v>
      </c>
      <c r="AC7" s="72"/>
      <c r="AD7" s="72"/>
      <c r="AE7" s="72"/>
      <c r="AF7" s="72"/>
      <c r="AG7" s="72"/>
      <c r="AH7" s="72"/>
      <c r="AJ7" s="71" t="s">
        <v>102</v>
      </c>
      <c r="AK7" s="72"/>
      <c r="AL7" s="72"/>
      <c r="AM7" s="72"/>
      <c r="AN7" s="72"/>
      <c r="AO7" s="72"/>
      <c r="AP7" s="72"/>
      <c r="AR7" s="71" t="s">
        <v>96</v>
      </c>
      <c r="AS7" s="72"/>
      <c r="AT7" s="72"/>
      <c r="AU7" s="72"/>
      <c r="AV7" s="72"/>
      <c r="AW7" s="72"/>
      <c r="AX7" s="72"/>
      <c r="AY7" s="72"/>
      <c r="AZ7" s="72"/>
      <c r="BB7" s="71" t="s">
        <v>55</v>
      </c>
      <c r="BC7" s="72"/>
      <c r="BD7" s="72"/>
      <c r="BE7" s="72"/>
      <c r="BF7" s="72"/>
      <c r="BG7" s="72"/>
      <c r="BI7" s="71" t="s">
        <v>53</v>
      </c>
      <c r="BJ7" s="72"/>
      <c r="BK7" s="72"/>
      <c r="BL7" s="72"/>
      <c r="BM7" s="72"/>
      <c r="BN7" s="72"/>
      <c r="BP7" s="71" t="s">
        <v>56</v>
      </c>
      <c r="BQ7" s="72"/>
      <c r="BR7" s="72"/>
      <c r="BS7" s="72"/>
      <c r="BT7" s="72"/>
      <c r="BU7" s="72"/>
      <c r="BW7" s="71" t="s">
        <v>57</v>
      </c>
      <c r="BX7" s="72"/>
      <c r="BY7" s="72"/>
      <c r="BZ7" s="72"/>
      <c r="CA7" s="72"/>
      <c r="CB7" s="72"/>
      <c r="CD7" s="71" t="s">
        <v>58</v>
      </c>
      <c r="CE7" s="72"/>
      <c r="CF7" s="72"/>
      <c r="CG7" s="72"/>
      <c r="CH7" s="72"/>
      <c r="CJ7" s="71" t="s">
        <v>59</v>
      </c>
      <c r="CK7" s="72"/>
      <c r="CL7" s="72"/>
      <c r="CM7" s="72"/>
      <c r="CN7" s="72"/>
      <c r="CP7" s="71" t="s">
        <v>60</v>
      </c>
      <c r="CQ7" s="72"/>
      <c r="CR7" s="72"/>
      <c r="CS7" s="72"/>
      <c r="CT7" s="72"/>
      <c r="CU7" s="72"/>
      <c r="CV7" s="151"/>
      <c r="CW7" s="71" t="s">
        <v>61</v>
      </c>
      <c r="CX7" s="72"/>
      <c r="CY7" s="72"/>
      <c r="CZ7" s="72"/>
      <c r="DA7" s="72"/>
      <c r="DB7" s="72"/>
      <c r="DC7" s="151"/>
      <c r="DD7" s="71" t="s">
        <v>62</v>
      </c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151"/>
      <c r="DQ7" s="71" t="s">
        <v>63</v>
      </c>
      <c r="DR7" s="72"/>
      <c r="DS7" s="72"/>
      <c r="DT7" s="72"/>
      <c r="DU7" s="72"/>
      <c r="DV7" s="151"/>
      <c r="DW7" s="71" t="s">
        <v>64</v>
      </c>
      <c r="DX7" s="73"/>
      <c r="DY7" s="73"/>
      <c r="DZ7" s="73"/>
      <c r="EA7" s="73"/>
      <c r="EB7" s="73"/>
      <c r="EC7" s="73"/>
      <c r="ED7" s="71" t="s">
        <v>65</v>
      </c>
      <c r="EE7" s="73"/>
      <c r="EF7" s="73"/>
      <c r="EG7" s="73"/>
      <c r="EH7" s="73"/>
      <c r="EI7" s="73"/>
      <c r="EJ7" s="151"/>
      <c r="EK7" s="71" t="s">
        <v>66</v>
      </c>
      <c r="EL7" s="72"/>
      <c r="EM7" s="72"/>
      <c r="EN7" s="72"/>
      <c r="EO7" s="72"/>
      <c r="EP7" s="151"/>
      <c r="EQ7" s="71" t="s">
        <v>67</v>
      </c>
      <c r="ER7" s="72"/>
      <c r="ES7" s="72"/>
      <c r="ET7" s="72"/>
      <c r="EU7" s="72"/>
      <c r="EV7" s="151"/>
      <c r="EW7" s="71" t="s">
        <v>68</v>
      </c>
      <c r="EX7" s="72"/>
      <c r="EY7" s="72"/>
      <c r="EZ7" s="72"/>
      <c r="FA7" s="72"/>
      <c r="FB7" s="151"/>
      <c r="FC7" s="71" t="s">
        <v>69</v>
      </c>
      <c r="FD7" s="72"/>
      <c r="FE7" s="72"/>
      <c r="FF7" s="72"/>
      <c r="FG7" s="72"/>
      <c r="FH7" s="72"/>
      <c r="FI7" s="151"/>
      <c r="FJ7" s="71" t="s">
        <v>70</v>
      </c>
      <c r="FK7" s="72"/>
      <c r="FL7" s="72"/>
      <c r="FM7" s="72"/>
      <c r="FN7" s="72"/>
      <c r="FO7" s="72"/>
      <c r="FP7" s="151"/>
      <c r="FQ7" s="71" t="s">
        <v>71</v>
      </c>
      <c r="FR7" s="72"/>
      <c r="FS7" s="72"/>
      <c r="FT7" s="72"/>
      <c r="FU7" s="72"/>
      <c r="FV7" s="72"/>
      <c r="FW7" s="151"/>
      <c r="FX7" s="71" t="s">
        <v>72</v>
      </c>
      <c r="FY7" s="72"/>
      <c r="FZ7" s="72"/>
      <c r="GA7" s="72"/>
      <c r="GB7" s="72"/>
      <c r="GC7" s="72"/>
    </row>
    <row r="8" spans="1:185" x14ac:dyDescent="0.25">
      <c r="B8" s="72"/>
      <c r="C8" s="72"/>
      <c r="D8" s="72"/>
      <c r="E8" s="73"/>
      <c r="F8" s="73"/>
      <c r="G8" s="73"/>
      <c r="H8" s="73"/>
      <c r="I8" s="72"/>
      <c r="J8" s="72"/>
      <c r="L8" s="152"/>
      <c r="M8" s="153"/>
      <c r="N8" s="153"/>
      <c r="O8" s="153"/>
      <c r="P8" s="153"/>
      <c r="Q8" s="153"/>
      <c r="R8" s="153"/>
      <c r="T8" s="152"/>
      <c r="U8" s="153"/>
      <c r="V8" s="153"/>
      <c r="W8" s="153"/>
      <c r="X8" s="153"/>
      <c r="Y8" s="153"/>
      <c r="Z8" s="153"/>
      <c r="AB8" s="152"/>
      <c r="AC8" s="153"/>
      <c r="AD8" s="153"/>
      <c r="AE8" s="153"/>
      <c r="AF8" s="153"/>
      <c r="AG8" s="153"/>
      <c r="AH8" s="153"/>
      <c r="AJ8" s="152"/>
      <c r="AK8" s="153"/>
      <c r="AL8" s="153"/>
      <c r="AM8" s="153"/>
      <c r="AN8" s="153"/>
      <c r="AO8" s="153"/>
      <c r="AP8" s="153"/>
      <c r="AR8" s="152"/>
      <c r="AS8" s="153"/>
      <c r="AT8" s="153"/>
      <c r="AU8" s="153"/>
      <c r="AV8" s="153"/>
      <c r="AW8" s="153"/>
      <c r="AX8" s="153"/>
      <c r="AY8" s="153"/>
      <c r="AZ8" s="153"/>
      <c r="BB8" s="152"/>
      <c r="BC8" s="153"/>
      <c r="BD8" s="153"/>
      <c r="BE8" s="153"/>
      <c r="BF8" s="153"/>
      <c r="BG8" s="153"/>
      <c r="BI8" s="152"/>
      <c r="BJ8" s="153"/>
      <c r="BK8" s="153"/>
      <c r="BL8" s="153"/>
      <c r="BM8" s="153"/>
      <c r="BN8" s="153"/>
      <c r="BP8" s="152"/>
      <c r="BQ8" s="153"/>
      <c r="BR8" s="153"/>
      <c r="BS8" s="153"/>
      <c r="BT8" s="153"/>
      <c r="BU8" s="153"/>
      <c r="BW8" s="152"/>
      <c r="BX8" s="153"/>
      <c r="BY8" s="153"/>
      <c r="BZ8" s="153"/>
      <c r="CA8" s="153"/>
      <c r="CB8" s="153"/>
      <c r="CD8" s="152"/>
      <c r="CE8" s="153"/>
      <c r="CF8" s="153"/>
      <c r="CG8" s="153"/>
      <c r="CH8" s="153"/>
      <c r="CJ8" s="152"/>
      <c r="CK8" s="153"/>
      <c r="CL8" s="153"/>
      <c r="CM8" s="153"/>
      <c r="CN8" s="153"/>
      <c r="CP8" s="152"/>
      <c r="CQ8" s="153"/>
      <c r="CR8" s="153"/>
      <c r="CS8" s="153"/>
      <c r="CT8" s="153"/>
      <c r="CU8" s="153"/>
      <c r="CV8" s="151"/>
      <c r="CW8" s="152"/>
      <c r="CX8" s="153"/>
      <c r="CY8" s="153"/>
      <c r="CZ8" s="153"/>
      <c r="DA8" s="153"/>
      <c r="DB8" s="153"/>
      <c r="DC8" s="151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1"/>
      <c r="DQ8" s="153"/>
      <c r="DR8" s="153"/>
      <c r="DS8" s="153"/>
      <c r="DT8" s="153"/>
      <c r="DU8" s="153"/>
      <c r="DV8" s="151"/>
      <c r="DW8" s="152"/>
      <c r="DX8" s="153"/>
      <c r="DY8" s="153"/>
      <c r="DZ8" s="153"/>
      <c r="EA8" s="153"/>
      <c r="EB8" s="153"/>
      <c r="EC8" s="153"/>
      <c r="ED8" s="152"/>
      <c r="EE8" s="153"/>
      <c r="EF8" s="153"/>
      <c r="EG8" s="153"/>
      <c r="EH8" s="153"/>
      <c r="EI8" s="153"/>
      <c r="EJ8" s="151"/>
      <c r="EK8" s="152"/>
      <c r="EL8" s="153"/>
      <c r="EM8" s="153"/>
      <c r="EN8" s="153"/>
      <c r="EO8" s="153"/>
      <c r="EP8" s="151"/>
      <c r="EQ8" s="152"/>
      <c r="ER8" s="153"/>
      <c r="ES8" s="153"/>
      <c r="ET8" s="153"/>
      <c r="EU8" s="153"/>
      <c r="EV8" s="151"/>
      <c r="EW8" s="152"/>
      <c r="EX8" s="153"/>
      <c r="EY8" s="153"/>
      <c r="EZ8" s="153"/>
      <c r="FA8" s="153"/>
      <c r="FB8" s="151"/>
      <c r="FC8" s="152"/>
      <c r="FD8" s="153"/>
      <c r="FE8" s="153"/>
      <c r="FF8" s="153"/>
      <c r="FG8" s="153"/>
      <c r="FH8" s="153"/>
      <c r="FI8" s="151"/>
      <c r="FJ8" s="152"/>
      <c r="FK8" s="153"/>
      <c r="FL8" s="153"/>
      <c r="FM8" s="153"/>
      <c r="FN8" s="153"/>
      <c r="FO8" s="153"/>
      <c r="FP8" s="151"/>
      <c r="FQ8" s="152"/>
      <c r="FR8" s="153"/>
      <c r="FS8" s="153"/>
      <c r="FT8" s="153"/>
      <c r="FU8" s="153"/>
      <c r="FV8" s="153"/>
      <c r="FW8" s="151"/>
      <c r="FX8" s="152"/>
      <c r="FY8" s="153"/>
      <c r="FZ8" s="153"/>
      <c r="GA8" s="153"/>
      <c r="GB8" s="153"/>
      <c r="GC8" s="153"/>
    </row>
    <row r="9" spans="1:185" x14ac:dyDescent="0.25">
      <c r="B9" s="72" t="s">
        <v>46</v>
      </c>
      <c r="C9" s="72"/>
      <c r="D9" s="72" t="s">
        <v>51</v>
      </c>
      <c r="E9" s="76"/>
      <c r="F9" s="76"/>
      <c r="G9" s="76" t="s">
        <v>31</v>
      </c>
      <c r="H9" s="76" t="s">
        <v>52</v>
      </c>
      <c r="I9" s="76" t="s">
        <v>47</v>
      </c>
      <c r="J9" s="76" t="s">
        <v>38</v>
      </c>
      <c r="L9" s="71" t="s">
        <v>46</v>
      </c>
      <c r="P9" s="76" t="s">
        <v>31</v>
      </c>
      <c r="Q9" s="76" t="s">
        <v>52</v>
      </c>
      <c r="T9" s="71" t="s">
        <v>46</v>
      </c>
      <c r="X9" s="76" t="s">
        <v>31</v>
      </c>
      <c r="Y9" s="76" t="s">
        <v>52</v>
      </c>
      <c r="AB9" s="71" t="s">
        <v>46</v>
      </c>
      <c r="AF9" s="76" t="s">
        <v>31</v>
      </c>
      <c r="AG9" s="76" t="s">
        <v>52</v>
      </c>
      <c r="AJ9" s="71" t="s">
        <v>46</v>
      </c>
      <c r="AN9" s="76" t="s">
        <v>31</v>
      </c>
      <c r="AO9" s="76" t="s">
        <v>52</v>
      </c>
      <c r="AR9" s="71" t="s">
        <v>46</v>
      </c>
      <c r="AX9" s="76" t="s">
        <v>31</v>
      </c>
      <c r="AY9" s="76" t="s">
        <v>52</v>
      </c>
      <c r="BB9" s="72" t="s">
        <v>51</v>
      </c>
      <c r="BC9" s="76"/>
      <c r="BD9" s="76"/>
      <c r="BE9" s="76"/>
      <c r="BF9" s="76" t="s">
        <v>31</v>
      </c>
      <c r="BG9" s="76" t="s">
        <v>47</v>
      </c>
      <c r="BI9" s="72" t="s">
        <v>51</v>
      </c>
      <c r="BJ9" s="76"/>
      <c r="BK9" s="76"/>
      <c r="BL9" s="76"/>
      <c r="BM9" s="76" t="s">
        <v>31</v>
      </c>
      <c r="BN9" s="76" t="s">
        <v>47</v>
      </c>
      <c r="BP9" s="72" t="s">
        <v>51</v>
      </c>
      <c r="BQ9" s="76"/>
      <c r="BR9" s="76"/>
      <c r="BS9" s="76"/>
      <c r="BT9" s="76" t="s">
        <v>31</v>
      </c>
      <c r="BU9" s="76" t="s">
        <v>47</v>
      </c>
      <c r="BW9" s="72" t="s">
        <v>51</v>
      </c>
      <c r="BX9" s="76"/>
      <c r="BY9" s="76"/>
      <c r="BZ9" s="76"/>
      <c r="CA9" s="76" t="s">
        <v>31</v>
      </c>
      <c r="CB9" s="76" t="s">
        <v>47</v>
      </c>
      <c r="CD9" s="72" t="s">
        <v>51</v>
      </c>
      <c r="CE9" s="76"/>
      <c r="CF9" s="76"/>
      <c r="CG9" s="76"/>
      <c r="CH9" s="76" t="s">
        <v>47</v>
      </c>
      <c r="CJ9" s="72" t="s">
        <v>51</v>
      </c>
      <c r="CK9" s="76"/>
      <c r="CL9" s="76"/>
      <c r="CM9" s="76"/>
      <c r="CN9" s="76" t="s">
        <v>47</v>
      </c>
      <c r="CP9" s="72" t="s">
        <v>51</v>
      </c>
      <c r="CQ9" s="76"/>
      <c r="CR9" s="76"/>
      <c r="CS9" s="76"/>
      <c r="CT9" s="76" t="s">
        <v>31</v>
      </c>
      <c r="CU9" s="76" t="s">
        <v>47</v>
      </c>
      <c r="CV9" s="151"/>
      <c r="CW9" s="72" t="s">
        <v>51</v>
      </c>
      <c r="CX9" s="76"/>
      <c r="CY9" s="76"/>
      <c r="CZ9" s="76"/>
      <c r="DA9" s="76" t="s">
        <v>31</v>
      </c>
      <c r="DB9" s="76" t="s">
        <v>47</v>
      </c>
      <c r="DC9" s="151"/>
      <c r="DD9" s="72" t="s">
        <v>51</v>
      </c>
      <c r="DE9" s="76"/>
      <c r="DF9" s="76"/>
      <c r="DG9" s="76"/>
      <c r="DH9" s="76"/>
      <c r="DI9" s="76"/>
      <c r="DJ9" s="76"/>
      <c r="DK9" s="76"/>
      <c r="DL9" s="76"/>
      <c r="DM9" s="76"/>
      <c r="DN9" s="76" t="s">
        <v>31</v>
      </c>
      <c r="DO9" s="76" t="s">
        <v>47</v>
      </c>
      <c r="DP9" s="151"/>
      <c r="DQ9" s="72" t="s">
        <v>51</v>
      </c>
      <c r="DR9" s="76"/>
      <c r="DS9" s="76"/>
      <c r="DT9" s="76"/>
      <c r="DU9" s="76" t="s">
        <v>47</v>
      </c>
      <c r="DV9" s="151"/>
      <c r="DW9" s="72" t="s">
        <v>51</v>
      </c>
      <c r="DX9" s="76"/>
      <c r="DY9" s="76"/>
      <c r="DZ9" s="76"/>
      <c r="EA9" s="76" t="s">
        <v>31</v>
      </c>
      <c r="EB9" s="76" t="s">
        <v>47</v>
      </c>
      <c r="EC9" s="40"/>
      <c r="ED9" s="72" t="s">
        <v>51</v>
      </c>
      <c r="EE9" s="76"/>
      <c r="EF9" s="76"/>
      <c r="EG9" s="76"/>
      <c r="EH9" s="76" t="s">
        <v>31</v>
      </c>
      <c r="EI9" s="76" t="s">
        <v>47</v>
      </c>
      <c r="EJ9" s="151"/>
      <c r="EK9" s="72" t="s">
        <v>51</v>
      </c>
      <c r="EL9" s="76"/>
      <c r="EM9" s="76"/>
      <c r="EN9" s="76"/>
      <c r="EO9" s="76" t="s">
        <v>47</v>
      </c>
      <c r="EP9" s="151"/>
      <c r="EQ9" s="72" t="s">
        <v>51</v>
      </c>
      <c r="ER9" s="76"/>
      <c r="ES9" s="76"/>
      <c r="ET9" s="76"/>
      <c r="EU9" s="76" t="s">
        <v>47</v>
      </c>
      <c r="EV9" s="151"/>
      <c r="EW9" s="72" t="s">
        <v>51</v>
      </c>
      <c r="EX9" s="76"/>
      <c r="EY9" s="76"/>
      <c r="EZ9" s="76"/>
      <c r="FA9" s="76" t="s">
        <v>47</v>
      </c>
      <c r="FB9" s="151"/>
      <c r="FC9" s="72" t="s">
        <v>51</v>
      </c>
      <c r="FD9" s="76"/>
      <c r="FE9" s="76"/>
      <c r="FF9" s="76"/>
      <c r="FG9" s="76" t="s">
        <v>31</v>
      </c>
      <c r="FH9" s="76" t="s">
        <v>47</v>
      </c>
      <c r="FI9" s="151"/>
      <c r="FJ9" s="72" t="s">
        <v>51</v>
      </c>
      <c r="FK9" s="76"/>
      <c r="FL9" s="76"/>
      <c r="FM9" s="76"/>
      <c r="FN9" s="76" t="s">
        <v>31</v>
      </c>
      <c r="FO9" s="76" t="s">
        <v>47</v>
      </c>
      <c r="FP9" s="151"/>
      <c r="FQ9" s="72" t="s">
        <v>51</v>
      </c>
      <c r="FR9" s="76"/>
      <c r="FS9" s="76"/>
      <c r="FT9" s="76"/>
      <c r="FU9" s="76" t="s">
        <v>31</v>
      </c>
      <c r="FV9" s="76" t="s">
        <v>47</v>
      </c>
      <c r="FW9" s="151"/>
      <c r="FX9" s="72" t="s">
        <v>51</v>
      </c>
      <c r="FY9" s="76"/>
      <c r="FZ9" s="76"/>
      <c r="GA9" s="76"/>
      <c r="GB9" s="76" t="s">
        <v>31</v>
      </c>
      <c r="GC9" s="76" t="s">
        <v>47</v>
      </c>
    </row>
    <row r="10" spans="1:185" ht="13.8" thickBot="1" x14ac:dyDescent="0.3">
      <c r="B10" s="81" t="s">
        <v>48</v>
      </c>
      <c r="C10" s="81"/>
      <c r="D10" s="81" t="s">
        <v>23</v>
      </c>
      <c r="E10" s="80" t="s">
        <v>21</v>
      </c>
      <c r="F10" s="80" t="s">
        <v>32</v>
      </c>
      <c r="G10" s="80" t="s">
        <v>32</v>
      </c>
      <c r="H10" s="80" t="s">
        <v>32</v>
      </c>
      <c r="I10" s="80" t="s">
        <v>49</v>
      </c>
      <c r="J10" s="80" t="s">
        <v>34</v>
      </c>
      <c r="L10" s="79" t="s">
        <v>48</v>
      </c>
      <c r="M10" s="80" t="s">
        <v>21</v>
      </c>
      <c r="N10" s="80" t="s">
        <v>25</v>
      </c>
      <c r="O10" s="80" t="s">
        <v>32</v>
      </c>
      <c r="P10" s="80" t="s">
        <v>32</v>
      </c>
      <c r="Q10" s="80" t="s">
        <v>32</v>
      </c>
      <c r="R10" s="80" t="s">
        <v>34</v>
      </c>
      <c r="T10" s="79" t="s">
        <v>48</v>
      </c>
      <c r="U10" s="80" t="s">
        <v>21</v>
      </c>
      <c r="V10" s="80" t="s">
        <v>25</v>
      </c>
      <c r="W10" s="80" t="s">
        <v>32</v>
      </c>
      <c r="X10" s="80" t="s">
        <v>32</v>
      </c>
      <c r="Y10" s="80" t="s">
        <v>32</v>
      </c>
      <c r="Z10" s="80" t="s">
        <v>34</v>
      </c>
      <c r="AB10" s="79" t="s">
        <v>48</v>
      </c>
      <c r="AC10" s="80" t="s">
        <v>21</v>
      </c>
      <c r="AD10" s="80" t="s">
        <v>25</v>
      </c>
      <c r="AE10" s="80" t="s">
        <v>32</v>
      </c>
      <c r="AF10" s="80" t="s">
        <v>32</v>
      </c>
      <c r="AG10" s="80" t="s">
        <v>32</v>
      </c>
      <c r="AH10" s="80" t="s">
        <v>34</v>
      </c>
      <c r="AJ10" s="79" t="s">
        <v>48</v>
      </c>
      <c r="AK10" s="80" t="s">
        <v>21</v>
      </c>
      <c r="AL10" s="80" t="s">
        <v>25</v>
      </c>
      <c r="AM10" s="80" t="s">
        <v>32</v>
      </c>
      <c r="AN10" s="80" t="s">
        <v>32</v>
      </c>
      <c r="AO10" s="80" t="s">
        <v>32</v>
      </c>
      <c r="AP10" s="80" t="s">
        <v>34</v>
      </c>
      <c r="AR10" s="79" t="s">
        <v>48</v>
      </c>
      <c r="AS10" s="80" t="s">
        <v>21</v>
      </c>
      <c r="AT10" s="80" t="s">
        <v>25</v>
      </c>
      <c r="AU10" s="80" t="s">
        <v>21</v>
      </c>
      <c r="AV10" s="80" t="s">
        <v>25</v>
      </c>
      <c r="AW10" s="80" t="s">
        <v>32</v>
      </c>
      <c r="AX10" s="80" t="s">
        <v>32</v>
      </c>
      <c r="AY10" s="80" t="s">
        <v>32</v>
      </c>
      <c r="AZ10" s="80" t="s">
        <v>34</v>
      </c>
      <c r="BB10" s="81" t="s">
        <v>23</v>
      </c>
      <c r="BC10" s="80" t="s">
        <v>21</v>
      </c>
      <c r="BD10" s="80" t="s">
        <v>25</v>
      </c>
      <c r="BE10" s="80" t="s">
        <v>32</v>
      </c>
      <c r="BF10" s="80" t="s">
        <v>32</v>
      </c>
      <c r="BG10" s="80" t="s">
        <v>49</v>
      </c>
      <c r="BI10" s="81" t="s">
        <v>23</v>
      </c>
      <c r="BJ10" s="80" t="s">
        <v>21</v>
      </c>
      <c r="BK10" s="80" t="s">
        <v>25</v>
      </c>
      <c r="BL10" s="80" t="s">
        <v>32</v>
      </c>
      <c r="BM10" s="80" t="s">
        <v>32</v>
      </c>
      <c r="BN10" s="80" t="s">
        <v>49</v>
      </c>
      <c r="BP10" s="81" t="s">
        <v>23</v>
      </c>
      <c r="BQ10" s="80" t="s">
        <v>21</v>
      </c>
      <c r="BR10" s="80" t="s">
        <v>25</v>
      </c>
      <c r="BS10" s="80" t="s">
        <v>32</v>
      </c>
      <c r="BT10" s="80" t="s">
        <v>32</v>
      </c>
      <c r="BU10" s="80" t="s">
        <v>49</v>
      </c>
      <c r="BW10" s="81" t="s">
        <v>23</v>
      </c>
      <c r="BX10" s="80" t="s">
        <v>21</v>
      </c>
      <c r="BY10" s="80" t="s">
        <v>25</v>
      </c>
      <c r="BZ10" s="80" t="s">
        <v>32</v>
      </c>
      <c r="CA10" s="80" t="s">
        <v>32</v>
      </c>
      <c r="CB10" s="80" t="s">
        <v>49</v>
      </c>
      <c r="CD10" s="81" t="s">
        <v>23</v>
      </c>
      <c r="CE10" s="80" t="s">
        <v>21</v>
      </c>
      <c r="CF10" s="80" t="s">
        <v>25</v>
      </c>
      <c r="CG10" s="80" t="s">
        <v>32</v>
      </c>
      <c r="CH10" s="80" t="s">
        <v>49</v>
      </c>
      <c r="CJ10" s="81" t="s">
        <v>23</v>
      </c>
      <c r="CK10" s="80" t="s">
        <v>21</v>
      </c>
      <c r="CL10" s="80" t="s">
        <v>25</v>
      </c>
      <c r="CM10" s="80" t="s">
        <v>32</v>
      </c>
      <c r="CN10" s="80" t="s">
        <v>49</v>
      </c>
      <c r="CP10" s="81" t="s">
        <v>23</v>
      </c>
      <c r="CQ10" s="80" t="s">
        <v>21</v>
      </c>
      <c r="CR10" s="80" t="s">
        <v>25</v>
      </c>
      <c r="CS10" s="80" t="s">
        <v>32</v>
      </c>
      <c r="CT10" s="80" t="s">
        <v>32</v>
      </c>
      <c r="CU10" s="80" t="s">
        <v>49</v>
      </c>
      <c r="CV10" s="151"/>
      <c r="CW10" s="81" t="s">
        <v>23</v>
      </c>
      <c r="CX10" s="80" t="s">
        <v>21</v>
      </c>
      <c r="CY10" s="80" t="s">
        <v>25</v>
      </c>
      <c r="CZ10" s="80" t="s">
        <v>32</v>
      </c>
      <c r="DA10" s="80" t="s">
        <v>32</v>
      </c>
      <c r="DB10" s="80" t="s">
        <v>49</v>
      </c>
      <c r="DC10" s="151"/>
      <c r="DD10" s="81" t="s">
        <v>23</v>
      </c>
      <c r="DE10" s="80" t="s">
        <v>21</v>
      </c>
      <c r="DF10" s="80" t="s">
        <v>25</v>
      </c>
      <c r="DG10" s="80" t="s">
        <v>21</v>
      </c>
      <c r="DH10" s="80" t="s">
        <v>25</v>
      </c>
      <c r="DI10" s="80" t="s">
        <v>21</v>
      </c>
      <c r="DJ10" s="80" t="s">
        <v>25</v>
      </c>
      <c r="DK10" s="80" t="s">
        <v>21</v>
      </c>
      <c r="DL10" s="80" t="s">
        <v>25</v>
      </c>
      <c r="DM10" s="80" t="s">
        <v>32</v>
      </c>
      <c r="DN10" s="80" t="s">
        <v>32</v>
      </c>
      <c r="DO10" s="80" t="s">
        <v>49</v>
      </c>
      <c r="DP10" s="151"/>
      <c r="DQ10" s="81" t="s">
        <v>23</v>
      </c>
      <c r="DR10" s="80" t="s">
        <v>21</v>
      </c>
      <c r="DS10" s="80" t="s">
        <v>25</v>
      </c>
      <c r="DT10" s="80" t="s">
        <v>32</v>
      </c>
      <c r="DU10" s="80" t="s">
        <v>49</v>
      </c>
      <c r="DV10" s="151"/>
      <c r="DW10" s="81" t="s">
        <v>23</v>
      </c>
      <c r="DX10" s="80" t="s">
        <v>21</v>
      </c>
      <c r="DY10" s="80" t="s">
        <v>25</v>
      </c>
      <c r="DZ10" s="80" t="s">
        <v>32</v>
      </c>
      <c r="EA10" s="80" t="s">
        <v>32</v>
      </c>
      <c r="EB10" s="80" t="s">
        <v>49</v>
      </c>
      <c r="EC10" s="78"/>
      <c r="ED10" s="81" t="s">
        <v>23</v>
      </c>
      <c r="EE10" s="80" t="s">
        <v>21</v>
      </c>
      <c r="EF10" s="80" t="s">
        <v>25</v>
      </c>
      <c r="EG10" s="80" t="s">
        <v>32</v>
      </c>
      <c r="EH10" s="80" t="s">
        <v>32</v>
      </c>
      <c r="EI10" s="80" t="s">
        <v>49</v>
      </c>
      <c r="EJ10" s="151"/>
      <c r="EK10" s="81" t="s">
        <v>23</v>
      </c>
      <c r="EL10" s="80" t="s">
        <v>21</v>
      </c>
      <c r="EM10" s="80" t="s">
        <v>25</v>
      </c>
      <c r="EN10" s="80" t="s">
        <v>32</v>
      </c>
      <c r="EO10" s="80" t="s">
        <v>49</v>
      </c>
      <c r="EP10" s="151"/>
      <c r="EQ10" s="81" t="s">
        <v>23</v>
      </c>
      <c r="ER10" s="80" t="s">
        <v>21</v>
      </c>
      <c r="ES10" s="80" t="s">
        <v>25</v>
      </c>
      <c r="ET10" s="80" t="s">
        <v>32</v>
      </c>
      <c r="EU10" s="80" t="s">
        <v>49</v>
      </c>
      <c r="EV10" s="151"/>
      <c r="EW10" s="81" t="s">
        <v>23</v>
      </c>
      <c r="EX10" s="80" t="s">
        <v>21</v>
      </c>
      <c r="EY10" s="80" t="s">
        <v>25</v>
      </c>
      <c r="EZ10" s="80" t="s">
        <v>32</v>
      </c>
      <c r="FA10" s="80" t="s">
        <v>49</v>
      </c>
      <c r="FB10" s="151"/>
      <c r="FC10" s="81" t="s">
        <v>23</v>
      </c>
      <c r="FD10" s="80" t="s">
        <v>21</v>
      </c>
      <c r="FE10" s="80" t="s">
        <v>25</v>
      </c>
      <c r="FF10" s="80" t="s">
        <v>32</v>
      </c>
      <c r="FG10" s="80" t="s">
        <v>32</v>
      </c>
      <c r="FH10" s="80" t="s">
        <v>49</v>
      </c>
      <c r="FI10" s="151"/>
      <c r="FJ10" s="81" t="s">
        <v>23</v>
      </c>
      <c r="FK10" s="80" t="s">
        <v>21</v>
      </c>
      <c r="FL10" s="80" t="s">
        <v>25</v>
      </c>
      <c r="FM10" s="80" t="s">
        <v>32</v>
      </c>
      <c r="FN10" s="80" t="s">
        <v>32</v>
      </c>
      <c r="FO10" s="80" t="s">
        <v>49</v>
      </c>
      <c r="FP10" s="151"/>
      <c r="FQ10" s="81" t="s">
        <v>23</v>
      </c>
      <c r="FR10" s="80" t="s">
        <v>21</v>
      </c>
      <c r="FS10" s="80" t="s">
        <v>25</v>
      </c>
      <c r="FT10" s="80" t="s">
        <v>32</v>
      </c>
      <c r="FU10" s="80" t="s">
        <v>32</v>
      </c>
      <c r="FV10" s="80" t="s">
        <v>49</v>
      </c>
      <c r="FW10" s="151"/>
      <c r="FX10" s="81" t="s">
        <v>23</v>
      </c>
      <c r="FY10" s="80" t="s">
        <v>21</v>
      </c>
      <c r="FZ10" s="80" t="s">
        <v>25</v>
      </c>
      <c r="GA10" s="80" t="s">
        <v>32</v>
      </c>
      <c r="GB10" s="80" t="s">
        <v>32</v>
      </c>
      <c r="GC10" s="80" t="s">
        <v>49</v>
      </c>
    </row>
    <row r="11" spans="1:185" x14ac:dyDescent="0.25">
      <c r="L11" s="71"/>
      <c r="M11" s="76"/>
      <c r="N11" s="76"/>
      <c r="O11" s="76"/>
      <c r="P11" s="76"/>
      <c r="Q11" s="76"/>
      <c r="R11" s="76"/>
      <c r="T11" s="71"/>
      <c r="U11" s="76"/>
      <c r="V11" s="76"/>
      <c r="W11" s="76"/>
      <c r="X11" s="76"/>
      <c r="Y11" s="76"/>
      <c r="Z11" s="76"/>
      <c r="AB11" s="71"/>
      <c r="AC11" s="76"/>
      <c r="AD11" s="76"/>
      <c r="AE11" s="76"/>
      <c r="AF11" s="76"/>
      <c r="AG11" s="76"/>
      <c r="AH11" s="76"/>
      <c r="AJ11" s="71"/>
      <c r="AK11" s="76"/>
      <c r="AL11" s="76"/>
      <c r="AM11" s="76"/>
      <c r="AN11" s="76"/>
      <c r="AO11" s="76"/>
      <c r="AP11" s="76"/>
      <c r="AR11" s="71"/>
      <c r="AS11" s="76"/>
      <c r="AT11" s="76"/>
      <c r="AU11" s="76"/>
      <c r="AV11" s="76"/>
      <c r="AW11" s="76"/>
      <c r="AX11" s="76"/>
      <c r="AY11" s="76"/>
      <c r="AZ11" s="76"/>
      <c r="BB11" s="71"/>
      <c r="BC11" s="76"/>
      <c r="BD11" s="76"/>
      <c r="BE11" s="76"/>
      <c r="BF11" s="76"/>
      <c r="BG11" s="76"/>
      <c r="BI11" s="71"/>
      <c r="BJ11" s="76"/>
      <c r="BK11" s="76"/>
      <c r="BL11" s="76"/>
      <c r="BM11" s="76"/>
      <c r="BN11" s="76"/>
      <c r="BP11" s="71"/>
      <c r="BQ11" s="76"/>
      <c r="BR11" s="76"/>
      <c r="BS11" s="76"/>
      <c r="BT11" s="76"/>
      <c r="BU11" s="76"/>
      <c r="BW11" s="71"/>
      <c r="BX11" s="76"/>
      <c r="BY11" s="76"/>
      <c r="BZ11" s="76"/>
      <c r="CA11" s="76"/>
      <c r="CB11" s="76"/>
      <c r="CD11" s="71"/>
      <c r="CE11" s="76"/>
      <c r="CF11" s="76"/>
      <c r="CG11" s="76"/>
      <c r="CH11" s="76"/>
      <c r="CJ11" s="71"/>
      <c r="CK11" s="76"/>
      <c r="CL11" s="76"/>
      <c r="CM11" s="76"/>
      <c r="CN11" s="76"/>
      <c r="CP11" s="71"/>
      <c r="CQ11" s="76"/>
      <c r="CR11" s="76"/>
      <c r="CS11" s="76"/>
      <c r="CT11" s="76"/>
      <c r="CU11" s="76"/>
      <c r="CV11" s="151"/>
      <c r="CW11" s="76"/>
      <c r="CX11" s="76"/>
      <c r="CY11" s="76"/>
      <c r="CZ11" s="76"/>
      <c r="DA11" s="76"/>
      <c r="DB11" s="76"/>
      <c r="DC11" s="151"/>
      <c r="DD11" s="83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151"/>
      <c r="DQ11" s="83"/>
      <c r="DR11" s="76"/>
      <c r="DS11" s="76"/>
      <c r="DT11" s="76"/>
      <c r="DU11" s="76"/>
      <c r="DV11" s="151"/>
      <c r="DW11" s="83"/>
      <c r="DX11" s="84"/>
      <c r="DY11" s="84"/>
      <c r="DZ11" s="84"/>
      <c r="EA11" s="84"/>
      <c r="EB11" s="84"/>
      <c r="EC11" s="84"/>
      <c r="ED11" s="83"/>
      <c r="EE11" s="84"/>
      <c r="EF11" s="84"/>
      <c r="EG11" s="84"/>
      <c r="EH11" s="84"/>
      <c r="EI11" s="84"/>
      <c r="EJ11" s="151"/>
      <c r="EK11" s="83"/>
      <c r="EP11" s="151"/>
      <c r="EQ11" s="83"/>
      <c r="EV11" s="151"/>
      <c r="EW11" s="83"/>
      <c r="FB11" s="151"/>
      <c r="FC11" s="83"/>
      <c r="FI11" s="151"/>
      <c r="FJ11" s="83"/>
      <c r="FP11" s="151"/>
      <c r="FQ11" s="83"/>
      <c r="FW11" s="151"/>
      <c r="FX11" s="83"/>
    </row>
    <row r="12" spans="1:185" x14ac:dyDescent="0.25">
      <c r="B12" s="85">
        <v>44561</v>
      </c>
      <c r="C12" s="85"/>
      <c r="D12" s="85">
        <v>44545</v>
      </c>
      <c r="E12" s="40">
        <f>SUM(M12,U12,AC12,AK12,AS12,BC12,BJ12,BQ12,BX12,CE12,CK12,CQ12,CX12,DE12,DG12,DI12,DK12,DR12,DX12,EE12,EL12,ER12,EX12,FD12,FK12,FR12,FY12)</f>
        <v>0</v>
      </c>
      <c r="F12" s="40">
        <f>SUM(O12,W12,AE12,AM12,AW12,BE12,BL12,BS12,BZ12,CG12,CM12,CS12,DA12,DM12,DT12,DZ12,EG12,EN12,ET12,EZ12,FF12,FM12,FT12,GA12)</f>
        <v>0</v>
      </c>
      <c r="G12" s="40">
        <f>SUM(P12,X12,AF12,AN12,AX12,BF12,BM12,BT12,CA12,CT12,DN12,EA12,EH12,FG12,FN12,FU12,GB12)</f>
        <v>0</v>
      </c>
      <c r="H12" s="40">
        <v>0</v>
      </c>
      <c r="I12" s="40">
        <f t="shared" ref="I12" si="0">SUM(E12:H12)</f>
        <v>0</v>
      </c>
      <c r="J12" s="40"/>
      <c r="L12" s="85">
        <v>44545</v>
      </c>
      <c r="M12" s="40"/>
      <c r="N12" s="101"/>
      <c r="O12" s="40"/>
      <c r="P12" s="40"/>
      <c r="Q12" s="40"/>
      <c r="R12" s="40">
        <f>SUM(M12,O12,P12,Q12)</f>
        <v>0</v>
      </c>
      <c r="T12" s="85">
        <v>44545</v>
      </c>
      <c r="U12" s="40"/>
      <c r="V12" s="101"/>
      <c r="W12" s="40">
        <f>(U12*V12/2)+W13</f>
        <v>0</v>
      </c>
      <c r="X12" s="40"/>
      <c r="Y12" s="40"/>
      <c r="Z12" s="40">
        <f>SUM(U12,W12,X12,Y12)</f>
        <v>0</v>
      </c>
      <c r="AB12" s="85">
        <v>44545</v>
      </c>
      <c r="AC12" s="40"/>
      <c r="AD12" s="101"/>
      <c r="AE12" s="40">
        <f>(AC12*AD12/2)+AE13</f>
        <v>0</v>
      </c>
      <c r="AF12" s="40"/>
      <c r="AG12" s="40"/>
      <c r="AH12" s="40">
        <f>SUM(AC12,AE12,AF12,AG12)</f>
        <v>0</v>
      </c>
      <c r="AJ12" s="85">
        <v>44545</v>
      </c>
      <c r="AK12" s="40"/>
      <c r="AL12" s="101"/>
      <c r="AM12" s="40">
        <f>(AK12*AL12/2)+AM13</f>
        <v>0</v>
      </c>
      <c r="AN12" s="40"/>
      <c r="AO12" s="40"/>
      <c r="AP12" s="40">
        <f>SUM(AK12,AM12,AN12,AO12)</f>
        <v>0</v>
      </c>
      <c r="AR12" s="85">
        <v>44545</v>
      </c>
      <c r="AS12" s="40"/>
      <c r="AT12" s="101"/>
      <c r="AU12" s="40"/>
      <c r="AV12" s="101"/>
      <c r="AW12" s="40">
        <f t="shared" ref="AW12:AW68" si="1">(AS12*AT12/2)+(AU12*AV12/2)+AW13</f>
        <v>0</v>
      </c>
      <c r="AX12" s="40"/>
      <c r="AY12" s="40"/>
      <c r="AZ12" s="40">
        <f t="shared" ref="AZ12:AZ72" si="2">SUM(AS12,AU12,AW12,AX12,AY12)</f>
        <v>0</v>
      </c>
      <c r="BB12" s="85">
        <v>44545</v>
      </c>
      <c r="BC12" s="40"/>
      <c r="BD12" s="101"/>
      <c r="BE12" s="40">
        <f t="shared" ref="BE12:BE48" si="3">(BC12+BF12)*BD12/2+BE13</f>
        <v>0</v>
      </c>
      <c r="BF12" s="40"/>
      <c r="BG12" s="40">
        <f t="shared" ref="BG12:BG72" si="4">SUM(BC12,BE12,BF12)</f>
        <v>0</v>
      </c>
      <c r="BI12" s="85">
        <v>44545</v>
      </c>
      <c r="BJ12" s="40"/>
      <c r="BK12" s="40"/>
      <c r="BL12" s="40"/>
      <c r="BM12" s="40"/>
      <c r="BN12" s="40">
        <v>0</v>
      </c>
      <c r="BP12" s="85">
        <v>44545</v>
      </c>
      <c r="BQ12" s="40"/>
      <c r="BR12" s="40"/>
      <c r="BS12" s="40"/>
      <c r="BT12" s="40"/>
      <c r="BU12" s="40">
        <v>0</v>
      </c>
      <c r="BW12" s="85">
        <v>44545</v>
      </c>
      <c r="BX12" s="40"/>
      <c r="BY12" s="40"/>
      <c r="BZ12" s="40"/>
      <c r="CA12" s="40"/>
      <c r="CB12" s="40">
        <v>0</v>
      </c>
      <c r="CD12" s="85">
        <v>44545</v>
      </c>
      <c r="CE12" s="40"/>
      <c r="CF12" s="40"/>
      <c r="CG12" s="40"/>
      <c r="CH12" s="40">
        <v>0</v>
      </c>
      <c r="CJ12" s="85">
        <v>44545</v>
      </c>
      <c r="CK12" s="40"/>
      <c r="CL12" s="87">
        <v>0</v>
      </c>
      <c r="CM12" s="40"/>
      <c r="CN12" s="40">
        <v>0</v>
      </c>
      <c r="CP12" s="85">
        <v>44545</v>
      </c>
      <c r="CQ12" s="40"/>
      <c r="CR12" s="87"/>
      <c r="CS12" s="40"/>
      <c r="CT12" s="40"/>
      <c r="CU12" s="40">
        <f t="shared" ref="CU12:CU67" si="5">SUM(CQ12,CS12,CT12)</f>
        <v>0</v>
      </c>
      <c r="CV12" s="151"/>
      <c r="CW12" s="85">
        <v>44545</v>
      </c>
      <c r="CY12" s="40"/>
      <c r="CZ12" s="87"/>
      <c r="DB12" s="40">
        <v>0</v>
      </c>
      <c r="DC12" s="151"/>
      <c r="DD12" s="85">
        <v>44545</v>
      </c>
      <c r="DE12" s="40"/>
      <c r="DF12" s="87"/>
      <c r="DG12" s="40"/>
      <c r="DH12" s="87"/>
      <c r="DI12" s="40"/>
      <c r="DJ12" s="87"/>
      <c r="DK12" s="40"/>
      <c r="DL12" s="87"/>
      <c r="DM12" s="40">
        <f t="shared" ref="DM12:DM59" si="6">(DE12*DF12/2)+(DG12*DH12/2)+(DI12*DJ12/2)+(DK12*DL12/2)+DM13</f>
        <v>0</v>
      </c>
      <c r="DN12" s="40"/>
      <c r="DO12" s="40">
        <f t="shared" ref="DO12:DO72" si="7">SUM(DE12,DG12,DI12,DK12,DM12)</f>
        <v>0</v>
      </c>
      <c r="DP12" s="151"/>
      <c r="DQ12" s="85">
        <v>44545</v>
      </c>
      <c r="DR12" s="40"/>
      <c r="DS12" s="87"/>
      <c r="DT12" s="40">
        <f t="shared" ref="DT12:DT67" si="8">DR12*DS12/2+DT13</f>
        <v>0</v>
      </c>
      <c r="DU12" s="40">
        <f t="shared" ref="DU12:DU68" si="9">SUM(DR12,DT12)</f>
        <v>0</v>
      </c>
      <c r="DV12" s="151"/>
      <c r="DW12" s="85">
        <v>44545</v>
      </c>
      <c r="DX12" s="40"/>
      <c r="DY12" s="102"/>
      <c r="DZ12" s="40"/>
      <c r="EA12" s="40"/>
      <c r="EB12" s="40">
        <f t="shared" ref="EB12:EB68" si="10">SUM(DZ12:EA12,DX12)</f>
        <v>0</v>
      </c>
      <c r="EC12" s="40"/>
      <c r="ED12" s="85">
        <v>44545</v>
      </c>
      <c r="EE12" s="40"/>
      <c r="EF12" s="101"/>
      <c r="EG12" s="40"/>
      <c r="EH12" s="40"/>
      <c r="EI12" s="40">
        <f t="shared" ref="EI12:EI67" si="11">SUM(EE12,EG12,EH12)</f>
        <v>0</v>
      </c>
      <c r="EJ12" s="85"/>
      <c r="EK12" s="85">
        <v>44545</v>
      </c>
      <c r="EP12" s="151"/>
      <c r="EQ12" s="85">
        <v>44545</v>
      </c>
      <c r="ER12" s="40"/>
      <c r="ES12" s="101"/>
      <c r="ET12" s="40"/>
      <c r="EU12" s="40">
        <f t="shared" ref="EU12:EU74" si="12">ER12+ET12</f>
        <v>0</v>
      </c>
      <c r="EV12" s="151"/>
      <c r="EW12" s="85">
        <v>44545</v>
      </c>
      <c r="EX12" s="40"/>
      <c r="EY12" s="101"/>
      <c r="EZ12" s="40"/>
      <c r="FA12" s="40">
        <f t="shared" ref="FA12:FA74" si="13">EX12+EZ12</f>
        <v>0</v>
      </c>
      <c r="FB12" s="151"/>
      <c r="FC12" s="85">
        <v>44545</v>
      </c>
      <c r="FD12" s="40"/>
      <c r="FE12" s="87"/>
      <c r="FF12" s="40"/>
      <c r="FG12" s="40"/>
      <c r="FH12" s="40">
        <f t="shared" ref="FH12:FH68" si="14">SUM(FD12,FF12,FG12)</f>
        <v>0</v>
      </c>
      <c r="FI12" s="151"/>
      <c r="FJ12" s="85">
        <v>44545</v>
      </c>
      <c r="FK12" s="40"/>
      <c r="FL12" s="87"/>
      <c r="FM12" s="40"/>
      <c r="FN12" s="40"/>
      <c r="FO12" s="40">
        <f t="shared" ref="FO12:FO68" si="15">SUM(FK12,FM12,FN12)</f>
        <v>0</v>
      </c>
      <c r="FP12" s="151"/>
      <c r="FQ12" s="85">
        <v>44545</v>
      </c>
      <c r="FR12" s="40"/>
      <c r="FS12" s="87"/>
      <c r="FT12" s="40"/>
      <c r="FU12" s="40"/>
      <c r="FV12" s="40">
        <f t="shared" ref="FV12:FV68" si="16">SUM(FR12,FT12,FU12)</f>
        <v>0</v>
      </c>
      <c r="FW12" s="151"/>
      <c r="FX12" s="85">
        <v>44545</v>
      </c>
      <c r="GC12" s="40">
        <f t="shared" ref="GC12:GC68" si="17">SUM(FY12,GA12,GB12)</f>
        <v>0</v>
      </c>
    </row>
    <row r="13" spans="1:185" x14ac:dyDescent="0.25">
      <c r="B13" s="85">
        <v>44742</v>
      </c>
      <c r="C13" s="85"/>
      <c r="D13" s="85">
        <v>44727</v>
      </c>
      <c r="E13" s="40">
        <f t="shared" ref="E13:E76" si="18">SUM(M13,U13,AC13,AK13,AS13,BC13,BJ13,BQ13,BX13,CE13,CK13,CQ13,CX13,DE13,DG13,DI13,DK13,DR13,DX13,EE13,EL13,ER13,EX13,FD13,FK13,FR13,FY13)</f>
        <v>0</v>
      </c>
      <c r="F13" s="40">
        <f t="shared" ref="F13:F76" si="19">SUM(O13,W13,AE13,AM13,AW13,BE13,BL13,BS13,BZ13,CG13,CM13,CS13,DA13,DM13,DT13,DZ13,EG13,EN13,ET13,EZ13,FF13,FM13,FT13,GA13)</f>
        <v>18269475</v>
      </c>
      <c r="G13" s="40">
        <f t="shared" ref="G13:G76" si="20">SUM(P13,X13,AF13,AN13,AX13,BF13,BM13,BT13,CA13,CT13,DN13,EA13,EH13,FG13,FN13,FU13,GB13)</f>
        <v>0</v>
      </c>
      <c r="H13" s="40">
        <v>0</v>
      </c>
      <c r="I13" s="40">
        <f t="shared" ref="I13:I76" si="21">SUM(E13:H13)</f>
        <v>18269475</v>
      </c>
      <c r="J13" s="40">
        <f>SUM(I12:I13)</f>
        <v>18269475</v>
      </c>
      <c r="L13" s="85">
        <v>44727</v>
      </c>
      <c r="M13" s="40"/>
      <c r="N13" s="101"/>
      <c r="O13" s="40"/>
      <c r="P13" s="40"/>
      <c r="Q13" s="40"/>
      <c r="R13" s="40">
        <f t="shared" ref="R13:R76" si="22">SUM(M13,O13,P13,Q13)</f>
        <v>0</v>
      </c>
      <c r="T13" s="85">
        <v>44727</v>
      </c>
      <c r="U13" s="40"/>
      <c r="V13" s="101"/>
      <c r="W13" s="40">
        <f t="shared" ref="W13:W76" si="23">(U13*V13/2)+W14</f>
        <v>0</v>
      </c>
      <c r="X13" s="40"/>
      <c r="Y13" s="40"/>
      <c r="Z13" s="40">
        <f t="shared" ref="Z13:Z76" si="24">SUM(U13,W13,X13,Y13)</f>
        <v>0</v>
      </c>
      <c r="AB13" s="85">
        <v>44727</v>
      </c>
      <c r="AC13" s="40"/>
      <c r="AD13" s="101"/>
      <c r="AE13" s="40">
        <f t="shared" ref="AE13:AE76" si="25">(AC13*AD13/2)+AE14</f>
        <v>0</v>
      </c>
      <c r="AF13" s="40"/>
      <c r="AG13" s="40"/>
      <c r="AH13" s="40">
        <f t="shared" ref="AH13:AH76" si="26">SUM(AC13,AE13,AF13,AG13)</f>
        <v>0</v>
      </c>
      <c r="AJ13" s="85">
        <v>44727</v>
      </c>
      <c r="AK13" s="40"/>
      <c r="AL13" s="101"/>
      <c r="AM13" s="40">
        <f t="shared" ref="AM13:AM76" si="27">(AK13*AL13/2)+AM14</f>
        <v>0</v>
      </c>
      <c r="AN13" s="40"/>
      <c r="AO13" s="40"/>
      <c r="AP13" s="40">
        <f t="shared" ref="AP13:AP76" si="28">SUM(AK13,AM13,AN13,AO13)</f>
        <v>0</v>
      </c>
      <c r="AR13" s="85">
        <v>44727</v>
      </c>
      <c r="AS13" s="40"/>
      <c r="AT13" s="101"/>
      <c r="AU13" s="40"/>
      <c r="AV13" s="101"/>
      <c r="AW13" s="40">
        <f t="shared" si="1"/>
        <v>0</v>
      </c>
      <c r="AX13" s="40"/>
      <c r="AY13" s="40"/>
      <c r="AZ13" s="40">
        <f t="shared" si="2"/>
        <v>0</v>
      </c>
      <c r="BB13" s="85">
        <v>44727</v>
      </c>
      <c r="BC13" s="40"/>
      <c r="BD13" s="101"/>
      <c r="BE13" s="40">
        <f t="shared" si="3"/>
        <v>0</v>
      </c>
      <c r="BF13" s="40"/>
      <c r="BG13" s="40">
        <f t="shared" si="4"/>
        <v>0</v>
      </c>
      <c r="BI13" s="85">
        <v>44727</v>
      </c>
      <c r="BJ13" s="40"/>
      <c r="BK13" s="40"/>
      <c r="BL13" s="40"/>
      <c r="BM13" s="40"/>
      <c r="BN13" s="40">
        <v>0</v>
      </c>
      <c r="BP13" s="85">
        <v>44727</v>
      </c>
      <c r="BQ13" s="40"/>
      <c r="BR13" s="40"/>
      <c r="BS13" s="40"/>
      <c r="BT13" s="40"/>
      <c r="BU13" s="40">
        <v>0</v>
      </c>
      <c r="BW13" s="85">
        <v>44727</v>
      </c>
      <c r="BX13" s="40"/>
      <c r="BY13" s="40"/>
      <c r="BZ13" s="40"/>
      <c r="CA13" s="40"/>
      <c r="CB13" s="40">
        <v>0</v>
      </c>
      <c r="CD13" s="85">
        <v>44727</v>
      </c>
      <c r="CE13" s="40"/>
      <c r="CF13" s="40"/>
      <c r="CG13" s="40"/>
      <c r="CH13" s="40">
        <v>0</v>
      </c>
      <c r="CJ13" s="85">
        <v>44727</v>
      </c>
      <c r="CK13" s="40"/>
      <c r="CL13" s="87">
        <v>0</v>
      </c>
      <c r="CM13" s="40">
        <f t="shared" ref="CM13:CM51" si="29">((CK13*CL13)/2)+CM14</f>
        <v>2426875</v>
      </c>
      <c r="CN13" s="40">
        <f>SUM(CK13+CM13)</f>
        <v>2426875</v>
      </c>
      <c r="CP13" s="85">
        <v>44727</v>
      </c>
      <c r="CQ13" s="40"/>
      <c r="CR13" s="87"/>
      <c r="CS13" s="40">
        <f t="shared" ref="CS13:CS71" si="30">((CQ13*CR13)/2)+CS14</f>
        <v>13305437.5</v>
      </c>
      <c r="CT13" s="40"/>
      <c r="CU13" s="40">
        <f t="shared" si="5"/>
        <v>13305437.5</v>
      </c>
      <c r="CV13" s="151"/>
      <c r="CW13" s="85">
        <v>44727</v>
      </c>
      <c r="CX13" s="88"/>
      <c r="CY13" s="40"/>
      <c r="CZ13" s="89"/>
      <c r="DA13" s="90"/>
      <c r="DB13" s="40">
        <v>0</v>
      </c>
      <c r="DC13" s="151"/>
      <c r="DD13" s="85">
        <v>44727</v>
      </c>
      <c r="DE13" s="40"/>
      <c r="DF13" s="87"/>
      <c r="DG13" s="40"/>
      <c r="DH13" s="87"/>
      <c r="DI13" s="40"/>
      <c r="DJ13" s="87"/>
      <c r="DK13" s="40"/>
      <c r="DL13" s="87"/>
      <c r="DM13" s="40">
        <f t="shared" si="6"/>
        <v>0</v>
      </c>
      <c r="DN13" s="40"/>
      <c r="DO13" s="40">
        <f t="shared" si="7"/>
        <v>0</v>
      </c>
      <c r="DP13" s="151"/>
      <c r="DQ13" s="85">
        <v>44727</v>
      </c>
      <c r="DR13" s="40"/>
      <c r="DS13" s="87"/>
      <c r="DT13" s="40">
        <f t="shared" si="8"/>
        <v>0</v>
      </c>
      <c r="DU13" s="40">
        <f t="shared" si="9"/>
        <v>0</v>
      </c>
      <c r="DV13" s="151"/>
      <c r="DW13" s="85">
        <v>44727</v>
      </c>
      <c r="DX13" s="40"/>
      <c r="DY13" s="102"/>
      <c r="DZ13" s="40">
        <f t="shared" ref="DZ13:DZ22" si="31">(DX13*DY13)/2+DZ14</f>
        <v>2537162.5</v>
      </c>
      <c r="EA13" s="40"/>
      <c r="EB13" s="40">
        <f t="shared" si="10"/>
        <v>2537162.5</v>
      </c>
      <c r="EC13" s="40"/>
      <c r="ED13" s="85">
        <v>44727</v>
      </c>
      <c r="EE13" s="40"/>
      <c r="EF13" s="101"/>
      <c r="EG13" s="40"/>
      <c r="EH13" s="40"/>
      <c r="EI13" s="40">
        <f t="shared" si="11"/>
        <v>0</v>
      </c>
      <c r="EJ13" s="85"/>
      <c r="EK13" s="85">
        <v>44727</v>
      </c>
      <c r="EP13" s="151"/>
      <c r="EQ13" s="85">
        <v>44727</v>
      </c>
      <c r="ER13" s="40"/>
      <c r="ES13" s="101"/>
      <c r="ET13" s="40"/>
      <c r="EU13" s="40">
        <f t="shared" si="12"/>
        <v>0</v>
      </c>
      <c r="EV13" s="151"/>
      <c r="EW13" s="85">
        <v>44727</v>
      </c>
      <c r="EX13" s="40"/>
      <c r="EY13" s="101"/>
      <c r="EZ13" s="40"/>
      <c r="FA13" s="40">
        <f t="shared" si="13"/>
        <v>0</v>
      </c>
      <c r="FB13" s="151"/>
      <c r="FC13" s="85">
        <v>44727</v>
      </c>
      <c r="FD13" s="40"/>
      <c r="FE13" s="87"/>
      <c r="FF13" s="40"/>
      <c r="FG13" s="40"/>
      <c r="FH13" s="40">
        <f t="shared" si="14"/>
        <v>0</v>
      </c>
      <c r="FI13" s="151"/>
      <c r="FJ13" s="85">
        <v>44727</v>
      </c>
      <c r="FK13" s="40"/>
      <c r="FL13" s="87"/>
      <c r="FM13" s="40"/>
      <c r="FN13" s="40"/>
      <c r="FO13" s="40">
        <f t="shared" si="15"/>
        <v>0</v>
      </c>
      <c r="FP13" s="151"/>
      <c r="FQ13" s="85">
        <v>44727</v>
      </c>
      <c r="FR13" s="40"/>
      <c r="FS13" s="87"/>
      <c r="FT13" s="40"/>
      <c r="FU13" s="40"/>
      <c r="FV13" s="40">
        <f t="shared" si="16"/>
        <v>0</v>
      </c>
      <c r="FW13" s="151"/>
      <c r="FX13" s="85">
        <v>44727</v>
      </c>
      <c r="GC13" s="40">
        <f t="shared" si="17"/>
        <v>0</v>
      </c>
    </row>
    <row r="14" spans="1:185" x14ac:dyDescent="0.25">
      <c r="B14" s="85">
        <v>44926</v>
      </c>
      <c r="C14" s="85"/>
      <c r="D14" s="85">
        <v>44910</v>
      </c>
      <c r="E14" s="40">
        <f t="shared" si="18"/>
        <v>0</v>
      </c>
      <c r="F14" s="40">
        <f t="shared" si="19"/>
        <v>25366860.759999998</v>
      </c>
      <c r="G14" s="40">
        <f t="shared" si="20"/>
        <v>0</v>
      </c>
      <c r="H14" s="40">
        <v>0</v>
      </c>
      <c r="I14" s="40">
        <f t="shared" si="21"/>
        <v>25366860.759999998</v>
      </c>
      <c r="J14" s="40"/>
      <c r="L14" s="85">
        <v>44910</v>
      </c>
      <c r="M14" s="40"/>
      <c r="N14" s="101"/>
      <c r="O14" s="40">
        <v>7097385.7599999998</v>
      </c>
      <c r="P14" s="40">
        <v>0</v>
      </c>
      <c r="Q14" s="40"/>
      <c r="R14" s="40">
        <f t="shared" si="22"/>
        <v>7097385.7599999998</v>
      </c>
      <c r="T14" s="85">
        <v>44910</v>
      </c>
      <c r="U14" s="40"/>
      <c r="V14" s="101"/>
      <c r="W14" s="40">
        <f t="shared" si="23"/>
        <v>0</v>
      </c>
      <c r="X14" s="40"/>
      <c r="Y14" s="40"/>
      <c r="Z14" s="40">
        <f t="shared" si="24"/>
        <v>0</v>
      </c>
      <c r="AB14" s="85">
        <v>44910</v>
      </c>
      <c r="AC14" s="40"/>
      <c r="AD14" s="101"/>
      <c r="AE14" s="40">
        <f t="shared" si="25"/>
        <v>0</v>
      </c>
      <c r="AF14" s="40"/>
      <c r="AG14" s="40"/>
      <c r="AH14" s="40">
        <f t="shared" si="26"/>
        <v>0</v>
      </c>
      <c r="AJ14" s="85">
        <v>44910</v>
      </c>
      <c r="AK14" s="40"/>
      <c r="AL14" s="101"/>
      <c r="AM14" s="40">
        <f t="shared" si="27"/>
        <v>0</v>
      </c>
      <c r="AN14" s="40"/>
      <c r="AO14" s="40"/>
      <c r="AP14" s="40">
        <f t="shared" si="28"/>
        <v>0</v>
      </c>
      <c r="AR14" s="85">
        <v>44910</v>
      </c>
      <c r="AS14" s="40"/>
      <c r="AT14" s="101"/>
      <c r="AU14" s="40"/>
      <c r="AV14" s="101"/>
      <c r="AW14" s="40">
        <f t="shared" si="1"/>
        <v>0</v>
      </c>
      <c r="AX14" s="40"/>
      <c r="AY14" s="40"/>
      <c r="AZ14" s="40">
        <f t="shared" si="2"/>
        <v>0</v>
      </c>
      <c r="BB14" s="85">
        <v>44910</v>
      </c>
      <c r="BC14" s="40"/>
      <c r="BD14" s="101"/>
      <c r="BE14" s="40">
        <f t="shared" si="3"/>
        <v>0</v>
      </c>
      <c r="BF14" s="40"/>
      <c r="BG14" s="40">
        <f t="shared" si="4"/>
        <v>0</v>
      </c>
      <c r="BI14" s="85">
        <v>44910</v>
      </c>
      <c r="BJ14" s="40"/>
      <c r="BK14" s="40"/>
      <c r="BL14" s="40"/>
      <c r="BM14" s="40"/>
      <c r="BN14" s="40">
        <v>0</v>
      </c>
      <c r="BP14" s="85">
        <v>44910</v>
      </c>
      <c r="BQ14" s="40"/>
      <c r="BR14" s="40"/>
      <c r="BS14" s="40"/>
      <c r="BT14" s="40"/>
      <c r="BU14" s="40">
        <v>0</v>
      </c>
      <c r="BW14" s="85">
        <v>44910</v>
      </c>
      <c r="BX14" s="40"/>
      <c r="BY14" s="40"/>
      <c r="BZ14" s="40"/>
      <c r="CA14" s="40"/>
      <c r="CB14" s="40">
        <v>0</v>
      </c>
      <c r="CD14" s="85">
        <v>44910</v>
      </c>
      <c r="CE14" s="40"/>
      <c r="CF14" s="40"/>
      <c r="CG14" s="40"/>
      <c r="CH14" s="40">
        <v>0</v>
      </c>
      <c r="CJ14" s="85">
        <v>44910</v>
      </c>
      <c r="CK14" s="40"/>
      <c r="CL14" s="87">
        <v>0</v>
      </c>
      <c r="CM14" s="40">
        <f t="shared" si="29"/>
        <v>2426875</v>
      </c>
      <c r="CN14" s="40">
        <f t="shared" ref="CN14:CN53" si="32">SUM(CK14+CM14)</f>
        <v>2426875</v>
      </c>
      <c r="CP14" s="85">
        <v>44910</v>
      </c>
      <c r="CQ14" s="40"/>
      <c r="CR14" s="87"/>
      <c r="CS14" s="40">
        <f t="shared" si="30"/>
        <v>13305437.5</v>
      </c>
      <c r="CT14" s="40"/>
      <c r="CU14" s="40">
        <f t="shared" si="5"/>
        <v>13305437.5</v>
      </c>
      <c r="CV14" s="151"/>
      <c r="CW14" s="85">
        <v>44910</v>
      </c>
      <c r="CX14" s="88"/>
      <c r="CY14" s="40"/>
      <c r="CZ14" s="89"/>
      <c r="DA14" s="90"/>
      <c r="DB14" s="40">
        <v>0</v>
      </c>
      <c r="DC14" s="151"/>
      <c r="DD14" s="85">
        <v>44910</v>
      </c>
      <c r="DE14" s="40"/>
      <c r="DF14" s="87"/>
      <c r="DG14" s="40"/>
      <c r="DH14" s="87"/>
      <c r="DI14" s="40"/>
      <c r="DJ14" s="87"/>
      <c r="DK14" s="40"/>
      <c r="DL14" s="87"/>
      <c r="DM14" s="40">
        <f t="shared" si="6"/>
        <v>0</v>
      </c>
      <c r="DN14" s="40"/>
      <c r="DO14" s="40">
        <f t="shared" si="7"/>
        <v>0</v>
      </c>
      <c r="DP14" s="151"/>
      <c r="DQ14" s="85">
        <v>44910</v>
      </c>
      <c r="DR14" s="40"/>
      <c r="DS14" s="87"/>
      <c r="DT14" s="40">
        <f t="shared" si="8"/>
        <v>0</v>
      </c>
      <c r="DU14" s="40">
        <f t="shared" si="9"/>
        <v>0</v>
      </c>
      <c r="DV14" s="151"/>
      <c r="DW14" s="85">
        <v>44910</v>
      </c>
      <c r="DX14" s="40"/>
      <c r="DY14" s="102"/>
      <c r="DZ14" s="40">
        <f t="shared" si="31"/>
        <v>2537162.5</v>
      </c>
      <c r="EA14" s="40"/>
      <c r="EB14" s="40">
        <f t="shared" si="10"/>
        <v>2537162.5</v>
      </c>
      <c r="EC14" s="40"/>
      <c r="ED14" s="85">
        <v>44910</v>
      </c>
      <c r="EE14" s="40"/>
      <c r="EF14" s="101"/>
      <c r="EG14" s="40"/>
      <c r="EH14" s="40"/>
      <c r="EI14" s="40">
        <f t="shared" si="11"/>
        <v>0</v>
      </c>
      <c r="EJ14" s="85"/>
      <c r="EK14" s="85">
        <v>44910</v>
      </c>
      <c r="EP14" s="151"/>
      <c r="EQ14" s="85">
        <v>44910</v>
      </c>
      <c r="ER14" s="40"/>
      <c r="ES14" s="101"/>
      <c r="ET14" s="40">
        <f t="shared" ref="ET14:ET73" si="33">ER14*ES14/2+ET15</f>
        <v>0</v>
      </c>
      <c r="EU14" s="40">
        <f t="shared" si="12"/>
        <v>0</v>
      </c>
      <c r="EV14" s="151"/>
      <c r="EW14" s="85">
        <v>44910</v>
      </c>
      <c r="EX14" s="40"/>
      <c r="EY14" s="101"/>
      <c r="EZ14" s="40">
        <f t="shared" ref="EZ14:EZ71" si="34">EX14*EY14/2+EZ15</f>
        <v>0</v>
      </c>
      <c r="FA14" s="40">
        <f t="shared" si="13"/>
        <v>0</v>
      </c>
      <c r="FB14" s="151"/>
      <c r="FC14" s="85">
        <v>44910</v>
      </c>
      <c r="FD14" s="40"/>
      <c r="FE14" s="87"/>
      <c r="FF14" s="40"/>
      <c r="FG14" s="40"/>
      <c r="FH14" s="40">
        <f t="shared" si="14"/>
        <v>0</v>
      </c>
      <c r="FI14" s="151"/>
      <c r="FJ14" s="85">
        <v>44910</v>
      </c>
      <c r="FK14" s="40"/>
      <c r="FL14" s="87"/>
      <c r="FM14" s="40"/>
      <c r="FN14" s="40"/>
      <c r="FO14" s="40">
        <f t="shared" si="15"/>
        <v>0</v>
      </c>
      <c r="FP14" s="151"/>
      <c r="FQ14" s="85">
        <v>44910</v>
      </c>
      <c r="FV14" s="40">
        <f t="shared" si="16"/>
        <v>0</v>
      </c>
      <c r="FW14" s="151"/>
      <c r="FX14" s="85">
        <v>44910</v>
      </c>
      <c r="GC14" s="40">
        <f t="shared" si="17"/>
        <v>0</v>
      </c>
    </row>
    <row r="15" spans="1:185" x14ac:dyDescent="0.25">
      <c r="B15" s="85">
        <v>45107</v>
      </c>
      <c r="C15" s="85"/>
      <c r="D15" s="85">
        <v>45092</v>
      </c>
      <c r="E15" s="40">
        <f t="shared" si="18"/>
        <v>16790000</v>
      </c>
      <c r="F15" s="40">
        <f t="shared" si="19"/>
        <v>21967100</v>
      </c>
      <c r="G15" s="40">
        <f t="shared" si="20"/>
        <v>0</v>
      </c>
      <c r="H15" s="40">
        <v>0</v>
      </c>
      <c r="I15" s="40">
        <f t="shared" si="21"/>
        <v>38757100</v>
      </c>
      <c r="J15" s="40">
        <f>SUM(I14:I15)</f>
        <v>64123960.759999998</v>
      </c>
      <c r="L15" s="85">
        <v>45092</v>
      </c>
      <c r="M15" s="40"/>
      <c r="N15" s="101"/>
      <c r="O15" s="40">
        <f t="shared" ref="O15:O25" si="35">((M15*N15)/2)+O16</f>
        <v>3697625</v>
      </c>
      <c r="P15" s="40">
        <v>0</v>
      </c>
      <c r="Q15" s="40"/>
      <c r="R15" s="40">
        <f t="shared" si="22"/>
        <v>3697625</v>
      </c>
      <c r="T15" s="85">
        <v>45092</v>
      </c>
      <c r="U15" s="40"/>
      <c r="V15" s="101"/>
      <c r="W15" s="40">
        <f t="shared" si="23"/>
        <v>0</v>
      </c>
      <c r="X15" s="40"/>
      <c r="Y15" s="40"/>
      <c r="Z15" s="40">
        <f t="shared" si="24"/>
        <v>0</v>
      </c>
      <c r="AB15" s="85">
        <v>45092</v>
      </c>
      <c r="AC15" s="40"/>
      <c r="AD15" s="101"/>
      <c r="AE15" s="40">
        <f t="shared" si="25"/>
        <v>0</v>
      </c>
      <c r="AF15" s="40"/>
      <c r="AG15" s="40"/>
      <c r="AH15" s="40">
        <f t="shared" si="26"/>
        <v>0</v>
      </c>
      <c r="AJ15" s="85">
        <v>45092</v>
      </c>
      <c r="AK15" s="40"/>
      <c r="AL15" s="101"/>
      <c r="AM15" s="40">
        <f t="shared" si="27"/>
        <v>0</v>
      </c>
      <c r="AN15" s="40"/>
      <c r="AO15" s="40"/>
      <c r="AP15" s="40">
        <f t="shared" si="28"/>
        <v>0</v>
      </c>
      <c r="AR15" s="85">
        <v>45092</v>
      </c>
      <c r="AS15" s="40"/>
      <c r="AT15" s="101"/>
      <c r="AU15" s="40"/>
      <c r="AV15" s="101"/>
      <c r="AW15" s="40">
        <f t="shared" si="1"/>
        <v>0</v>
      </c>
      <c r="AX15" s="40"/>
      <c r="AY15" s="40"/>
      <c r="AZ15" s="40">
        <f t="shared" si="2"/>
        <v>0</v>
      </c>
      <c r="BB15" s="85">
        <v>45092</v>
      </c>
      <c r="BC15" s="40"/>
      <c r="BD15" s="101"/>
      <c r="BE15" s="40">
        <f t="shared" si="3"/>
        <v>0</v>
      </c>
      <c r="BF15" s="40"/>
      <c r="BG15" s="40">
        <f t="shared" si="4"/>
        <v>0</v>
      </c>
      <c r="BI15" s="85">
        <v>45092</v>
      </c>
      <c r="BJ15" s="40"/>
      <c r="BK15" s="40"/>
      <c r="BL15" s="40"/>
      <c r="BM15" s="40"/>
      <c r="BN15" s="40">
        <v>0</v>
      </c>
      <c r="BP15" s="85">
        <v>45092</v>
      </c>
      <c r="BQ15" s="40"/>
      <c r="BR15" s="40"/>
      <c r="BS15" s="40"/>
      <c r="BT15" s="40"/>
      <c r="BU15" s="40">
        <v>0</v>
      </c>
      <c r="BW15" s="85">
        <v>45092</v>
      </c>
      <c r="BX15" s="40"/>
      <c r="BY15" s="40"/>
      <c r="BZ15" s="40"/>
      <c r="CA15" s="40"/>
      <c r="CB15" s="40">
        <v>0</v>
      </c>
      <c r="CD15" s="85">
        <v>45092</v>
      </c>
      <c r="CE15" s="40"/>
      <c r="CF15" s="40"/>
      <c r="CG15" s="40"/>
      <c r="CH15" s="40">
        <v>0</v>
      </c>
      <c r="CJ15" s="85">
        <v>45092</v>
      </c>
      <c r="CK15" s="40"/>
      <c r="CL15" s="87">
        <v>0</v>
      </c>
      <c r="CM15" s="40">
        <f t="shared" si="29"/>
        <v>2426875</v>
      </c>
      <c r="CN15" s="40">
        <f t="shared" si="32"/>
        <v>2426875</v>
      </c>
      <c r="CP15" s="85">
        <v>45092</v>
      </c>
      <c r="CQ15" s="40">
        <v>16790000</v>
      </c>
      <c r="CR15" s="87">
        <v>0.05</v>
      </c>
      <c r="CS15" s="40">
        <f t="shared" si="30"/>
        <v>13305437.5</v>
      </c>
      <c r="CT15" s="40"/>
      <c r="CU15" s="40">
        <f t="shared" si="5"/>
        <v>30095437.5</v>
      </c>
      <c r="CV15" s="151"/>
      <c r="CW15" s="85">
        <v>45092</v>
      </c>
      <c r="CX15" s="88"/>
      <c r="CY15" s="40"/>
      <c r="CZ15" s="89"/>
      <c r="DA15" s="91"/>
      <c r="DB15" s="40">
        <v>0</v>
      </c>
      <c r="DC15" s="151"/>
      <c r="DD15" s="85">
        <v>45092</v>
      </c>
      <c r="DE15" s="40"/>
      <c r="DF15" s="87"/>
      <c r="DG15" s="40"/>
      <c r="DH15" s="87"/>
      <c r="DI15" s="40"/>
      <c r="DJ15" s="87"/>
      <c r="DK15" s="40"/>
      <c r="DL15" s="87"/>
      <c r="DM15" s="40">
        <f t="shared" si="6"/>
        <v>0</v>
      </c>
      <c r="DN15" s="40"/>
      <c r="DO15" s="40">
        <f t="shared" si="7"/>
        <v>0</v>
      </c>
      <c r="DP15" s="151"/>
      <c r="DQ15" s="85">
        <v>45092</v>
      </c>
      <c r="DR15" s="40"/>
      <c r="DS15" s="87"/>
      <c r="DT15" s="40">
        <f t="shared" si="8"/>
        <v>0</v>
      </c>
      <c r="DU15" s="40">
        <f t="shared" si="9"/>
        <v>0</v>
      </c>
      <c r="DV15" s="151"/>
      <c r="DW15" s="85">
        <v>45092</v>
      </c>
      <c r="DX15" s="40"/>
      <c r="DY15" s="102"/>
      <c r="DZ15" s="40">
        <f t="shared" si="31"/>
        <v>2537162.5</v>
      </c>
      <c r="EA15" s="40"/>
      <c r="EB15" s="40">
        <f t="shared" si="10"/>
        <v>2537162.5</v>
      </c>
      <c r="EC15" s="40"/>
      <c r="ED15" s="85">
        <v>45092</v>
      </c>
      <c r="EE15" s="40"/>
      <c r="EF15" s="101"/>
      <c r="EG15" s="40"/>
      <c r="EH15" s="40"/>
      <c r="EI15" s="40">
        <f t="shared" si="11"/>
        <v>0</v>
      </c>
      <c r="EJ15" s="85"/>
      <c r="EK15" s="85">
        <v>45092</v>
      </c>
      <c r="EP15" s="151"/>
      <c r="EQ15" s="85">
        <v>45092</v>
      </c>
      <c r="ER15" s="40"/>
      <c r="ES15" s="101"/>
      <c r="ET15" s="40">
        <f t="shared" si="33"/>
        <v>0</v>
      </c>
      <c r="EU15" s="40">
        <f t="shared" si="12"/>
        <v>0</v>
      </c>
      <c r="EV15" s="151"/>
      <c r="EW15" s="85">
        <v>45092</v>
      </c>
      <c r="EX15" s="40"/>
      <c r="EY15" s="101"/>
      <c r="EZ15" s="40">
        <f t="shared" si="34"/>
        <v>0</v>
      </c>
      <c r="FA15" s="40">
        <f t="shared" si="13"/>
        <v>0</v>
      </c>
      <c r="FB15" s="151"/>
      <c r="FC15" s="85">
        <v>45092</v>
      </c>
      <c r="FD15" s="40"/>
      <c r="FE15" s="87"/>
      <c r="FF15" s="40"/>
      <c r="FG15" s="40"/>
      <c r="FH15" s="40">
        <f t="shared" si="14"/>
        <v>0</v>
      </c>
      <c r="FI15" s="151"/>
      <c r="FJ15" s="85">
        <v>45092</v>
      </c>
      <c r="FK15" s="40"/>
      <c r="FL15" s="87"/>
      <c r="FM15" s="40"/>
      <c r="FN15" s="40"/>
      <c r="FO15" s="40">
        <f t="shared" si="15"/>
        <v>0</v>
      </c>
      <c r="FP15" s="151"/>
      <c r="FQ15" s="85">
        <v>45092</v>
      </c>
      <c r="FV15" s="40">
        <f t="shared" si="16"/>
        <v>0</v>
      </c>
      <c r="FW15" s="151"/>
      <c r="FX15" s="85">
        <v>45092</v>
      </c>
      <c r="GC15" s="40">
        <f t="shared" si="17"/>
        <v>0</v>
      </c>
    </row>
    <row r="16" spans="1:185" x14ac:dyDescent="0.25">
      <c r="B16" s="85">
        <v>45291</v>
      </c>
      <c r="C16" s="85"/>
      <c r="D16" s="85">
        <v>45275</v>
      </c>
      <c r="E16" s="40">
        <f t="shared" si="18"/>
        <v>10850000</v>
      </c>
      <c r="F16" s="40">
        <f t="shared" si="19"/>
        <v>21547350</v>
      </c>
      <c r="G16" s="40">
        <f t="shared" si="20"/>
        <v>0</v>
      </c>
      <c r="H16" s="40">
        <v>0</v>
      </c>
      <c r="I16" s="40">
        <f t="shared" si="21"/>
        <v>32397350</v>
      </c>
      <c r="J16" s="40"/>
      <c r="L16" s="85">
        <v>45275</v>
      </c>
      <c r="M16" s="40">
        <v>10850000</v>
      </c>
      <c r="N16" s="156">
        <v>0.05</v>
      </c>
      <c r="O16" s="40">
        <f t="shared" si="35"/>
        <v>3697625</v>
      </c>
      <c r="P16" s="40">
        <v>0</v>
      </c>
      <c r="Q16" s="40"/>
      <c r="R16" s="40">
        <f t="shared" si="22"/>
        <v>14547625</v>
      </c>
      <c r="T16" s="85">
        <v>45275</v>
      </c>
      <c r="U16" s="40"/>
      <c r="V16" s="101"/>
      <c r="W16" s="40">
        <f t="shared" si="23"/>
        <v>0</v>
      </c>
      <c r="X16" s="40"/>
      <c r="Y16" s="40"/>
      <c r="Z16" s="40">
        <f t="shared" si="24"/>
        <v>0</v>
      </c>
      <c r="AB16" s="85">
        <v>45275</v>
      </c>
      <c r="AC16" s="40"/>
      <c r="AD16" s="101"/>
      <c r="AE16" s="40">
        <f t="shared" si="25"/>
        <v>0</v>
      </c>
      <c r="AF16" s="40"/>
      <c r="AG16" s="40"/>
      <c r="AH16" s="40">
        <f t="shared" si="26"/>
        <v>0</v>
      </c>
      <c r="AJ16" s="85">
        <v>45275</v>
      </c>
      <c r="AK16" s="40"/>
      <c r="AL16" s="101"/>
      <c r="AM16" s="40">
        <f t="shared" si="27"/>
        <v>0</v>
      </c>
      <c r="AN16" s="40"/>
      <c r="AO16" s="40"/>
      <c r="AP16" s="40">
        <f t="shared" si="28"/>
        <v>0</v>
      </c>
      <c r="AR16" s="85">
        <v>45275</v>
      </c>
      <c r="AS16" s="40"/>
      <c r="AT16" s="101"/>
      <c r="AU16" s="40"/>
      <c r="AV16" s="101"/>
      <c r="AW16" s="40">
        <f t="shared" si="1"/>
        <v>0</v>
      </c>
      <c r="AX16" s="40"/>
      <c r="AY16" s="40"/>
      <c r="AZ16" s="40">
        <f t="shared" si="2"/>
        <v>0</v>
      </c>
      <c r="BB16" s="85">
        <v>45275</v>
      </c>
      <c r="BC16" s="40"/>
      <c r="BD16" s="101"/>
      <c r="BE16" s="40">
        <f t="shared" si="3"/>
        <v>0</v>
      </c>
      <c r="BF16" s="40"/>
      <c r="BG16" s="40">
        <f t="shared" si="4"/>
        <v>0</v>
      </c>
      <c r="BI16" s="85">
        <v>45275</v>
      </c>
      <c r="BJ16" s="40"/>
      <c r="BK16" s="40"/>
      <c r="BL16" s="40"/>
      <c r="BM16" s="40"/>
      <c r="BN16" s="40">
        <v>0</v>
      </c>
      <c r="BP16" s="85">
        <v>45275</v>
      </c>
      <c r="BQ16" s="40"/>
      <c r="BR16" s="40"/>
      <c r="BS16" s="40"/>
      <c r="BT16" s="40"/>
      <c r="BU16" s="40">
        <v>0</v>
      </c>
      <c r="BW16" s="85">
        <v>45275</v>
      </c>
      <c r="BX16" s="40"/>
      <c r="BY16" s="40"/>
      <c r="BZ16" s="40"/>
      <c r="CA16" s="40"/>
      <c r="CB16" s="40">
        <v>0</v>
      </c>
      <c r="CD16" s="85">
        <v>45275</v>
      </c>
      <c r="CE16" s="40"/>
      <c r="CF16" s="40"/>
      <c r="CG16" s="40"/>
      <c r="CH16" s="40">
        <v>0</v>
      </c>
      <c r="CJ16" s="85">
        <v>45275</v>
      </c>
      <c r="CK16" s="40"/>
      <c r="CL16" s="87">
        <v>0</v>
      </c>
      <c r="CM16" s="40">
        <f t="shared" si="29"/>
        <v>2426875</v>
      </c>
      <c r="CN16" s="40">
        <f t="shared" si="32"/>
        <v>2426875</v>
      </c>
      <c r="CP16" s="85">
        <v>45275</v>
      </c>
      <c r="CQ16" s="40"/>
      <c r="CR16" s="87"/>
      <c r="CS16" s="40">
        <f t="shared" si="30"/>
        <v>12885687.5</v>
      </c>
      <c r="CT16" s="40"/>
      <c r="CU16" s="40">
        <f t="shared" si="5"/>
        <v>12885687.5</v>
      </c>
      <c r="CV16" s="151"/>
      <c r="CW16" s="85">
        <v>45275</v>
      </c>
      <c r="CX16" s="92"/>
      <c r="CY16" s="40"/>
      <c r="CZ16" s="89"/>
      <c r="DA16" s="91"/>
      <c r="DB16" s="40">
        <v>0</v>
      </c>
      <c r="DC16" s="151"/>
      <c r="DD16" s="85">
        <v>45275</v>
      </c>
      <c r="DE16" s="40"/>
      <c r="DF16" s="87"/>
      <c r="DG16" s="40"/>
      <c r="DH16" s="87"/>
      <c r="DI16" s="40"/>
      <c r="DJ16" s="87"/>
      <c r="DK16" s="40"/>
      <c r="DL16" s="87"/>
      <c r="DM16" s="40">
        <f t="shared" si="6"/>
        <v>0</v>
      </c>
      <c r="DN16" s="40"/>
      <c r="DO16" s="40">
        <f t="shared" si="7"/>
        <v>0</v>
      </c>
      <c r="DP16" s="151"/>
      <c r="DQ16" s="85">
        <v>45275</v>
      </c>
      <c r="DR16" s="40"/>
      <c r="DS16" s="87"/>
      <c r="DT16" s="40">
        <f t="shared" si="8"/>
        <v>0</v>
      </c>
      <c r="DU16" s="40">
        <f t="shared" si="9"/>
        <v>0</v>
      </c>
      <c r="DV16" s="151"/>
      <c r="DW16" s="85">
        <v>45275</v>
      </c>
      <c r="DX16" s="40"/>
      <c r="DY16" s="102"/>
      <c r="DZ16" s="40">
        <f t="shared" si="31"/>
        <v>2537162.5</v>
      </c>
      <c r="EA16" s="40"/>
      <c r="EB16" s="40">
        <f t="shared" si="10"/>
        <v>2537162.5</v>
      </c>
      <c r="EC16" s="40"/>
      <c r="ED16" s="85">
        <v>45275</v>
      </c>
      <c r="EE16" s="40"/>
      <c r="EF16" s="40"/>
      <c r="EG16" s="40"/>
      <c r="EH16" s="40"/>
      <c r="EI16" s="40">
        <f t="shared" si="11"/>
        <v>0</v>
      </c>
      <c r="EJ16" s="85"/>
      <c r="EK16" s="85">
        <v>45275</v>
      </c>
      <c r="EP16" s="151"/>
      <c r="EQ16" s="85">
        <v>45275</v>
      </c>
      <c r="ER16" s="40"/>
      <c r="ES16" s="101"/>
      <c r="ET16" s="40">
        <f t="shared" si="33"/>
        <v>0</v>
      </c>
      <c r="EU16" s="40">
        <f t="shared" si="12"/>
        <v>0</v>
      </c>
      <c r="EV16" s="151"/>
      <c r="EW16" s="85">
        <v>45275</v>
      </c>
      <c r="EX16" s="40"/>
      <c r="EY16" s="101"/>
      <c r="EZ16" s="40">
        <f t="shared" si="34"/>
        <v>0</v>
      </c>
      <c r="FA16" s="40">
        <f t="shared" si="13"/>
        <v>0</v>
      </c>
      <c r="FB16" s="151"/>
      <c r="FC16" s="85">
        <v>45275</v>
      </c>
      <c r="FD16" s="40"/>
      <c r="FE16" s="87"/>
      <c r="FF16" s="40"/>
      <c r="FG16" s="40"/>
      <c r="FH16" s="40">
        <f t="shared" si="14"/>
        <v>0</v>
      </c>
      <c r="FI16" s="151"/>
      <c r="FJ16" s="85">
        <v>45275</v>
      </c>
      <c r="FK16" s="40"/>
      <c r="FL16" s="87"/>
      <c r="FM16" s="40"/>
      <c r="FN16" s="40"/>
      <c r="FO16" s="40">
        <f t="shared" si="15"/>
        <v>0</v>
      </c>
      <c r="FP16" s="151"/>
      <c r="FQ16" s="85">
        <v>45275</v>
      </c>
      <c r="FV16" s="40">
        <f t="shared" si="16"/>
        <v>0</v>
      </c>
      <c r="FW16" s="151"/>
      <c r="FX16" s="85">
        <v>45275</v>
      </c>
      <c r="GC16" s="40">
        <f t="shared" si="17"/>
        <v>0</v>
      </c>
    </row>
    <row r="17" spans="2:185" x14ac:dyDescent="0.25">
      <c r="B17" s="85">
        <v>45473</v>
      </c>
      <c r="C17" s="85"/>
      <c r="D17" s="85">
        <v>45458</v>
      </c>
      <c r="E17" s="40">
        <f t="shared" si="18"/>
        <v>27985000</v>
      </c>
      <c r="F17" s="40">
        <f t="shared" si="19"/>
        <v>21276100</v>
      </c>
      <c r="G17" s="40">
        <f t="shared" si="20"/>
        <v>0</v>
      </c>
      <c r="H17" s="40">
        <v>0</v>
      </c>
      <c r="I17" s="40">
        <f t="shared" si="21"/>
        <v>49261100</v>
      </c>
      <c r="J17" s="40">
        <f>SUM(I16:I17)</f>
        <v>81658450</v>
      </c>
      <c r="L17" s="85">
        <v>45458</v>
      </c>
      <c r="M17" s="40">
        <v>5080000</v>
      </c>
      <c r="N17" s="156">
        <v>0.05</v>
      </c>
      <c r="O17" s="40">
        <f t="shared" si="35"/>
        <v>3426375</v>
      </c>
      <c r="P17" s="40">
        <v>0</v>
      </c>
      <c r="Q17" s="40"/>
      <c r="R17" s="40">
        <f t="shared" si="22"/>
        <v>8506375</v>
      </c>
      <c r="T17" s="85">
        <v>45458</v>
      </c>
      <c r="U17" s="40"/>
      <c r="V17" s="101"/>
      <c r="W17" s="40">
        <f t="shared" si="23"/>
        <v>0</v>
      </c>
      <c r="X17" s="40"/>
      <c r="Y17" s="40"/>
      <c r="Z17" s="40">
        <f t="shared" si="24"/>
        <v>0</v>
      </c>
      <c r="AB17" s="85">
        <v>45458</v>
      </c>
      <c r="AC17" s="40"/>
      <c r="AD17" s="101"/>
      <c r="AE17" s="40">
        <f t="shared" si="25"/>
        <v>0</v>
      </c>
      <c r="AF17" s="40"/>
      <c r="AG17" s="40"/>
      <c r="AH17" s="40">
        <f t="shared" si="26"/>
        <v>0</v>
      </c>
      <c r="AJ17" s="85">
        <v>45458</v>
      </c>
      <c r="AK17" s="40"/>
      <c r="AL17" s="101"/>
      <c r="AM17" s="40">
        <f t="shared" si="27"/>
        <v>0</v>
      </c>
      <c r="AN17" s="40"/>
      <c r="AO17" s="40"/>
      <c r="AP17" s="40">
        <f t="shared" si="28"/>
        <v>0</v>
      </c>
      <c r="AR17" s="85">
        <v>45458</v>
      </c>
      <c r="AS17" s="40"/>
      <c r="AT17" s="101"/>
      <c r="AU17" s="40"/>
      <c r="AV17" s="101"/>
      <c r="AW17" s="40">
        <f t="shared" si="1"/>
        <v>0</v>
      </c>
      <c r="AX17" s="40"/>
      <c r="AY17" s="40"/>
      <c r="AZ17" s="40">
        <f t="shared" si="2"/>
        <v>0</v>
      </c>
      <c r="BB17" s="85">
        <v>45458</v>
      </c>
      <c r="BC17" s="40"/>
      <c r="BD17" s="101"/>
      <c r="BE17" s="40">
        <f t="shared" si="3"/>
        <v>0</v>
      </c>
      <c r="BF17" s="40"/>
      <c r="BG17" s="40">
        <f t="shared" si="4"/>
        <v>0</v>
      </c>
      <c r="BI17" s="85">
        <v>45458</v>
      </c>
      <c r="BJ17" s="40"/>
      <c r="BK17" s="40"/>
      <c r="BL17" s="40"/>
      <c r="BM17" s="40"/>
      <c r="BN17" s="40">
        <v>0</v>
      </c>
      <c r="BP17" s="85">
        <v>45458</v>
      </c>
      <c r="BQ17" s="40"/>
      <c r="BR17" s="40"/>
      <c r="BS17" s="40"/>
      <c r="BT17" s="40"/>
      <c r="BU17" s="40">
        <v>0</v>
      </c>
      <c r="BW17" s="85">
        <v>45458</v>
      </c>
      <c r="BX17" s="40"/>
      <c r="BY17" s="40"/>
      <c r="BZ17" s="40"/>
      <c r="CA17" s="40"/>
      <c r="CB17" s="40">
        <v>0</v>
      </c>
      <c r="CD17" s="85">
        <v>45458</v>
      </c>
      <c r="CE17" s="40"/>
      <c r="CF17" s="40"/>
      <c r="CG17" s="40"/>
      <c r="CH17" s="40">
        <v>0</v>
      </c>
      <c r="CJ17" s="85">
        <v>45458</v>
      </c>
      <c r="CK17" s="40"/>
      <c r="CL17" s="87">
        <v>0</v>
      </c>
      <c r="CM17" s="40">
        <f t="shared" si="29"/>
        <v>2426875</v>
      </c>
      <c r="CN17" s="40">
        <f t="shared" si="32"/>
        <v>2426875</v>
      </c>
      <c r="CP17" s="85">
        <v>45458</v>
      </c>
      <c r="CQ17" s="40"/>
      <c r="CR17" s="87"/>
      <c r="CS17" s="40">
        <f t="shared" si="30"/>
        <v>12885687.5</v>
      </c>
      <c r="CT17" s="40"/>
      <c r="CU17" s="40">
        <f t="shared" si="5"/>
        <v>12885687.5</v>
      </c>
      <c r="CV17" s="151"/>
      <c r="CW17" s="85">
        <v>45458</v>
      </c>
      <c r="CX17" s="91"/>
      <c r="CY17" s="40"/>
      <c r="CZ17" s="89"/>
      <c r="DA17" s="91"/>
      <c r="DB17" s="40">
        <v>0</v>
      </c>
      <c r="DC17" s="151"/>
      <c r="DD17" s="85">
        <v>45458</v>
      </c>
      <c r="DE17" s="40"/>
      <c r="DF17" s="87"/>
      <c r="DG17" s="40"/>
      <c r="DH17" s="87"/>
      <c r="DI17" s="40"/>
      <c r="DJ17" s="87"/>
      <c r="DK17" s="40"/>
      <c r="DL17" s="87"/>
      <c r="DM17" s="40">
        <f t="shared" si="6"/>
        <v>0</v>
      </c>
      <c r="DN17" s="40"/>
      <c r="DO17" s="40">
        <f t="shared" si="7"/>
        <v>0</v>
      </c>
      <c r="DP17" s="151"/>
      <c r="DQ17" s="85">
        <v>45458</v>
      </c>
      <c r="DR17" s="40"/>
      <c r="DS17" s="87"/>
      <c r="DT17" s="40">
        <f t="shared" si="8"/>
        <v>0</v>
      </c>
      <c r="DU17" s="40">
        <f t="shared" si="9"/>
        <v>0</v>
      </c>
      <c r="DV17" s="151"/>
      <c r="DW17" s="85">
        <v>45458</v>
      </c>
      <c r="DX17" s="40">
        <v>22905000</v>
      </c>
      <c r="DY17" s="102">
        <v>5.7000000000000002E-2</v>
      </c>
      <c r="DZ17" s="40">
        <f t="shared" si="31"/>
        <v>2537162.5</v>
      </c>
      <c r="EA17" s="40"/>
      <c r="EB17" s="40">
        <f t="shared" ref="EB17" si="36">SUM(DZ17:EA17,DX17)</f>
        <v>25442162.5</v>
      </c>
      <c r="EC17" s="40"/>
      <c r="ED17" s="85">
        <v>45458</v>
      </c>
      <c r="EI17" s="40">
        <f t="shared" si="11"/>
        <v>0</v>
      </c>
      <c r="EJ17" s="85"/>
      <c r="EK17" s="85">
        <v>45458</v>
      </c>
      <c r="EQ17" s="85">
        <v>45458</v>
      </c>
      <c r="ER17" s="40"/>
      <c r="ES17" s="101"/>
      <c r="ET17" s="40">
        <f t="shared" si="33"/>
        <v>0</v>
      </c>
      <c r="EU17" s="40">
        <f t="shared" si="12"/>
        <v>0</v>
      </c>
      <c r="EW17" s="85">
        <v>45458</v>
      </c>
      <c r="EX17" s="40"/>
      <c r="EY17" s="101"/>
      <c r="EZ17" s="40">
        <f t="shared" si="34"/>
        <v>0</v>
      </c>
      <c r="FA17" s="40">
        <f t="shared" si="13"/>
        <v>0</v>
      </c>
      <c r="FC17" s="85">
        <v>45458</v>
      </c>
      <c r="FD17" s="40"/>
      <c r="FE17" s="87"/>
      <c r="FF17" s="40"/>
      <c r="FG17" s="40"/>
      <c r="FH17" s="40">
        <f t="shared" si="14"/>
        <v>0</v>
      </c>
      <c r="FJ17" s="85">
        <v>45458</v>
      </c>
      <c r="FK17" s="40"/>
      <c r="FL17" s="87"/>
      <c r="FM17" s="40"/>
      <c r="FN17" s="40"/>
      <c r="FO17" s="40">
        <f t="shared" si="15"/>
        <v>0</v>
      </c>
      <c r="FQ17" s="85">
        <v>45458</v>
      </c>
      <c r="FV17" s="40">
        <f t="shared" si="16"/>
        <v>0</v>
      </c>
      <c r="FX17" s="85">
        <v>45458</v>
      </c>
      <c r="GC17" s="40">
        <f t="shared" si="17"/>
        <v>0</v>
      </c>
    </row>
    <row r="18" spans="2:185" x14ac:dyDescent="0.25">
      <c r="B18" s="85">
        <v>45657</v>
      </c>
      <c r="C18" s="85"/>
      <c r="D18" s="85">
        <v>45641</v>
      </c>
      <c r="E18" s="40">
        <f t="shared" si="18"/>
        <v>16885000</v>
      </c>
      <c r="F18" s="40">
        <f t="shared" si="19"/>
        <v>20496307.5</v>
      </c>
      <c r="G18" s="40">
        <f t="shared" si="20"/>
        <v>0</v>
      </c>
      <c r="H18" s="40">
        <v>0</v>
      </c>
      <c r="I18" s="40">
        <f t="shared" si="21"/>
        <v>37381307.5</v>
      </c>
      <c r="J18" s="40"/>
      <c r="L18" s="85">
        <v>45641</v>
      </c>
      <c r="M18" s="40">
        <v>16885000</v>
      </c>
      <c r="N18" s="156">
        <v>0.05</v>
      </c>
      <c r="O18" s="40">
        <f t="shared" si="35"/>
        <v>3299375</v>
      </c>
      <c r="P18" s="40">
        <v>0</v>
      </c>
      <c r="Q18" s="40"/>
      <c r="R18" s="40">
        <f t="shared" si="22"/>
        <v>20184375</v>
      </c>
      <c r="T18" s="85">
        <v>45641</v>
      </c>
      <c r="U18" s="40"/>
      <c r="V18" s="101"/>
      <c r="W18" s="40">
        <f t="shared" si="23"/>
        <v>0</v>
      </c>
      <c r="X18" s="40"/>
      <c r="Y18" s="40"/>
      <c r="Z18" s="40">
        <f t="shared" si="24"/>
        <v>0</v>
      </c>
      <c r="AB18" s="85">
        <v>45641</v>
      </c>
      <c r="AC18" s="40"/>
      <c r="AD18" s="101"/>
      <c r="AE18" s="40">
        <f t="shared" si="25"/>
        <v>0</v>
      </c>
      <c r="AF18" s="40"/>
      <c r="AG18" s="40"/>
      <c r="AH18" s="40">
        <f t="shared" si="26"/>
        <v>0</v>
      </c>
      <c r="AJ18" s="85">
        <v>45641</v>
      </c>
      <c r="AK18" s="40"/>
      <c r="AL18" s="101"/>
      <c r="AM18" s="40">
        <f t="shared" si="27"/>
        <v>0</v>
      </c>
      <c r="AN18" s="40"/>
      <c r="AO18" s="40"/>
      <c r="AP18" s="40">
        <f t="shared" si="28"/>
        <v>0</v>
      </c>
      <c r="AR18" s="85">
        <v>45641</v>
      </c>
      <c r="AS18" s="40"/>
      <c r="AT18" s="101"/>
      <c r="AU18" s="40"/>
      <c r="AV18" s="101"/>
      <c r="AW18" s="40">
        <f t="shared" si="1"/>
        <v>0</v>
      </c>
      <c r="AX18" s="40"/>
      <c r="AY18" s="40"/>
      <c r="AZ18" s="40">
        <f t="shared" si="2"/>
        <v>0</v>
      </c>
      <c r="BB18" s="85">
        <v>45641</v>
      </c>
      <c r="BC18" s="40"/>
      <c r="BD18" s="101"/>
      <c r="BE18" s="40">
        <f t="shared" si="3"/>
        <v>0</v>
      </c>
      <c r="BF18" s="40"/>
      <c r="BG18" s="40">
        <f t="shared" si="4"/>
        <v>0</v>
      </c>
      <c r="BI18" s="85">
        <v>45641</v>
      </c>
      <c r="BJ18" s="40"/>
      <c r="BK18" s="40"/>
      <c r="BL18" s="40"/>
      <c r="BM18" s="40"/>
      <c r="BN18" s="40">
        <v>0</v>
      </c>
      <c r="BP18" s="85">
        <v>45641</v>
      </c>
      <c r="BQ18" s="40"/>
      <c r="BR18" s="40"/>
      <c r="BS18" s="40"/>
      <c r="BT18" s="40"/>
      <c r="BU18" s="40">
        <v>0</v>
      </c>
      <c r="BW18" s="85">
        <v>45641</v>
      </c>
      <c r="BX18" s="40"/>
      <c r="BY18" s="40"/>
      <c r="BZ18" s="40"/>
      <c r="CA18" s="40"/>
      <c r="CB18" s="40">
        <v>0</v>
      </c>
      <c r="CD18" s="85">
        <v>45641</v>
      </c>
      <c r="CE18" s="40"/>
      <c r="CF18" s="40"/>
      <c r="CG18" s="40"/>
      <c r="CH18" s="40">
        <v>0</v>
      </c>
      <c r="CJ18" s="85">
        <v>45641</v>
      </c>
      <c r="CK18" s="40"/>
      <c r="CL18" s="87">
        <v>0</v>
      </c>
      <c r="CM18" s="40">
        <f t="shared" si="29"/>
        <v>2426875</v>
      </c>
      <c r="CN18" s="40">
        <f t="shared" si="32"/>
        <v>2426875</v>
      </c>
      <c r="CP18" s="85">
        <v>45641</v>
      </c>
      <c r="CQ18" s="40"/>
      <c r="CR18" s="87"/>
      <c r="CS18" s="40">
        <f t="shared" si="30"/>
        <v>12885687.5</v>
      </c>
      <c r="CT18" s="40"/>
      <c r="CU18" s="40">
        <f t="shared" si="5"/>
        <v>12885687.5</v>
      </c>
      <c r="CV18" s="151"/>
      <c r="CW18" s="85">
        <v>45641</v>
      </c>
      <c r="CX18" s="93"/>
      <c r="CY18" s="40"/>
      <c r="CZ18" s="89"/>
      <c r="DA18" s="90"/>
      <c r="DB18" s="40">
        <v>0</v>
      </c>
      <c r="DC18" s="151"/>
      <c r="DD18" s="85">
        <v>45641</v>
      </c>
      <c r="DE18" s="40"/>
      <c r="DF18" s="87"/>
      <c r="DG18" s="40"/>
      <c r="DH18" s="87"/>
      <c r="DI18" s="40"/>
      <c r="DJ18" s="87"/>
      <c r="DK18" s="40"/>
      <c r="DL18" s="87"/>
      <c r="DM18" s="40">
        <f t="shared" si="6"/>
        <v>0</v>
      </c>
      <c r="DN18" s="40"/>
      <c r="DO18" s="40">
        <f t="shared" si="7"/>
        <v>0</v>
      </c>
      <c r="DP18" s="151"/>
      <c r="DQ18" s="85">
        <v>45641</v>
      </c>
      <c r="DR18" s="40"/>
      <c r="DS18" s="87"/>
      <c r="DT18" s="40">
        <f t="shared" si="8"/>
        <v>0</v>
      </c>
      <c r="DU18" s="40">
        <f t="shared" si="9"/>
        <v>0</v>
      </c>
      <c r="DV18" s="151"/>
      <c r="DW18" s="85">
        <v>45641</v>
      </c>
      <c r="DX18" s="40"/>
      <c r="DY18" s="102"/>
      <c r="DZ18" s="40">
        <f t="shared" si="31"/>
        <v>1884370</v>
      </c>
      <c r="EA18" s="40"/>
      <c r="EB18" s="40">
        <f t="shared" si="10"/>
        <v>1884370</v>
      </c>
      <c r="EC18" s="40"/>
      <c r="ED18" s="85">
        <v>45641</v>
      </c>
      <c r="EI18" s="40">
        <f t="shared" si="11"/>
        <v>0</v>
      </c>
      <c r="EJ18" s="85"/>
      <c r="EK18" s="85">
        <v>45641</v>
      </c>
      <c r="EQ18" s="85">
        <v>45641</v>
      </c>
      <c r="ER18" s="40"/>
      <c r="ES18" s="101"/>
      <c r="ET18" s="40">
        <f t="shared" si="33"/>
        <v>0</v>
      </c>
      <c r="EU18" s="40">
        <f t="shared" si="12"/>
        <v>0</v>
      </c>
      <c r="EW18" s="85">
        <v>45641</v>
      </c>
      <c r="EY18" s="101"/>
      <c r="EZ18" s="40">
        <f t="shared" si="34"/>
        <v>0</v>
      </c>
      <c r="FA18" s="40">
        <f t="shared" si="13"/>
        <v>0</v>
      </c>
      <c r="FC18" s="85">
        <v>45641</v>
      </c>
      <c r="FD18" s="40"/>
      <c r="FE18" s="87"/>
      <c r="FF18" s="40"/>
      <c r="FG18" s="40"/>
      <c r="FH18" s="40">
        <f t="shared" si="14"/>
        <v>0</v>
      </c>
      <c r="FJ18" s="85">
        <v>45641</v>
      </c>
      <c r="FK18" s="40"/>
      <c r="FL18" s="87"/>
      <c r="FM18" s="40"/>
      <c r="FN18" s="40"/>
      <c r="FO18" s="40">
        <f t="shared" si="15"/>
        <v>0</v>
      </c>
      <c r="FQ18" s="85">
        <v>45641</v>
      </c>
      <c r="FV18" s="40">
        <f t="shared" si="16"/>
        <v>0</v>
      </c>
      <c r="FX18" s="85">
        <v>45641</v>
      </c>
      <c r="GC18" s="40">
        <f t="shared" si="17"/>
        <v>0</v>
      </c>
    </row>
    <row r="19" spans="2:185" x14ac:dyDescent="0.25">
      <c r="B19" s="85">
        <v>45838</v>
      </c>
      <c r="C19" s="85"/>
      <c r="D19" s="85">
        <v>45823</v>
      </c>
      <c r="E19" s="40">
        <f t="shared" si="18"/>
        <v>31245000</v>
      </c>
      <c r="F19" s="40">
        <f t="shared" si="19"/>
        <v>20074182.5</v>
      </c>
      <c r="G19" s="40">
        <f t="shared" si="20"/>
        <v>0</v>
      </c>
      <c r="H19" s="40">
        <v>0</v>
      </c>
      <c r="I19" s="40">
        <f t="shared" si="21"/>
        <v>51319182.5</v>
      </c>
      <c r="J19" s="40">
        <f>SUM(I18:I19)</f>
        <v>88700490</v>
      </c>
      <c r="L19" s="85">
        <v>45823</v>
      </c>
      <c r="M19" s="40"/>
      <c r="N19" s="101"/>
      <c r="O19" s="40">
        <f t="shared" si="35"/>
        <v>2877250</v>
      </c>
      <c r="P19" s="40">
        <v>0</v>
      </c>
      <c r="Q19" s="40"/>
      <c r="R19" s="40">
        <f t="shared" si="22"/>
        <v>2877250</v>
      </c>
      <c r="T19" s="85">
        <v>45823</v>
      </c>
      <c r="U19" s="40"/>
      <c r="V19" s="101"/>
      <c r="W19" s="40">
        <f t="shared" si="23"/>
        <v>0</v>
      </c>
      <c r="X19" s="40"/>
      <c r="Y19" s="40"/>
      <c r="Z19" s="40">
        <f t="shared" si="24"/>
        <v>0</v>
      </c>
      <c r="AB19" s="85">
        <v>45823</v>
      </c>
      <c r="AC19" s="40"/>
      <c r="AD19" s="101"/>
      <c r="AE19" s="40">
        <f t="shared" si="25"/>
        <v>0</v>
      </c>
      <c r="AF19" s="40"/>
      <c r="AG19" s="40"/>
      <c r="AH19" s="40">
        <f t="shared" si="26"/>
        <v>0</v>
      </c>
      <c r="AJ19" s="85">
        <v>45823</v>
      </c>
      <c r="AK19" s="40"/>
      <c r="AL19" s="101"/>
      <c r="AM19" s="40">
        <f t="shared" si="27"/>
        <v>0</v>
      </c>
      <c r="AN19" s="40"/>
      <c r="AO19" s="40"/>
      <c r="AP19" s="40">
        <f t="shared" si="28"/>
        <v>0</v>
      </c>
      <c r="AR19" s="85">
        <v>45823</v>
      </c>
      <c r="AS19" s="40"/>
      <c r="AT19" s="101"/>
      <c r="AU19" s="40"/>
      <c r="AV19" s="101"/>
      <c r="AW19" s="40">
        <f t="shared" si="1"/>
        <v>0</v>
      </c>
      <c r="AX19" s="40"/>
      <c r="AY19" s="40"/>
      <c r="AZ19" s="40">
        <f t="shared" si="2"/>
        <v>0</v>
      </c>
      <c r="BB19" s="85">
        <v>45823</v>
      </c>
      <c r="BC19" s="40"/>
      <c r="BD19" s="101"/>
      <c r="BE19" s="40">
        <v>0</v>
      </c>
      <c r="BF19" s="40"/>
      <c r="BG19" s="40">
        <f t="shared" si="4"/>
        <v>0</v>
      </c>
      <c r="BI19" s="85">
        <v>45823</v>
      </c>
      <c r="BJ19" s="40"/>
      <c r="BK19" s="40"/>
      <c r="BL19" s="40"/>
      <c r="BM19" s="40"/>
      <c r="BN19" s="40">
        <v>0</v>
      </c>
      <c r="BP19" s="85">
        <v>45823</v>
      </c>
      <c r="BQ19" s="40"/>
      <c r="BR19" s="40"/>
      <c r="BS19" s="40"/>
      <c r="BT19" s="40"/>
      <c r="BU19" s="40">
        <v>0</v>
      </c>
      <c r="BW19" s="85">
        <v>45823</v>
      </c>
      <c r="BX19" s="40"/>
      <c r="BY19" s="40"/>
      <c r="BZ19" s="40"/>
      <c r="CA19" s="40"/>
      <c r="CB19" s="40">
        <v>0</v>
      </c>
      <c r="CD19" s="85">
        <v>45823</v>
      </c>
      <c r="CE19" s="40"/>
      <c r="CF19" s="40"/>
      <c r="CG19" s="40"/>
      <c r="CH19" s="40">
        <v>0</v>
      </c>
      <c r="CJ19" s="85">
        <v>45823</v>
      </c>
      <c r="CK19" s="40"/>
      <c r="CL19" s="87">
        <v>0</v>
      </c>
      <c r="CM19" s="40">
        <f t="shared" si="29"/>
        <v>2426875</v>
      </c>
      <c r="CN19" s="40">
        <f t="shared" si="32"/>
        <v>2426875</v>
      </c>
      <c r="CP19" s="85">
        <v>45823</v>
      </c>
      <c r="CQ19" s="40"/>
      <c r="CR19" s="87"/>
      <c r="CS19" s="40">
        <f t="shared" si="30"/>
        <v>12885687.5</v>
      </c>
      <c r="CT19" s="40"/>
      <c r="CU19" s="40">
        <f t="shared" si="5"/>
        <v>12885687.5</v>
      </c>
      <c r="CV19" s="151"/>
      <c r="CW19" s="85">
        <v>45823</v>
      </c>
      <c r="CX19" s="93"/>
      <c r="CY19" s="40"/>
      <c r="CZ19" s="89"/>
      <c r="DA19" s="90"/>
      <c r="DB19" s="40">
        <v>0</v>
      </c>
      <c r="DC19" s="151"/>
      <c r="DD19" s="85">
        <v>45823</v>
      </c>
      <c r="DE19" s="40"/>
      <c r="DF19" s="87"/>
      <c r="DG19" s="40"/>
      <c r="DH19" s="87"/>
      <c r="DI19" s="40"/>
      <c r="DJ19" s="87"/>
      <c r="DK19" s="40"/>
      <c r="DL19" s="87"/>
      <c r="DM19" s="40">
        <f t="shared" si="6"/>
        <v>0</v>
      </c>
      <c r="DN19" s="40"/>
      <c r="DO19" s="40">
        <f t="shared" si="7"/>
        <v>0</v>
      </c>
      <c r="DP19" s="151"/>
      <c r="DQ19" s="85">
        <v>45823</v>
      </c>
      <c r="DR19" s="40"/>
      <c r="DS19" s="87"/>
      <c r="DT19" s="40">
        <f t="shared" si="8"/>
        <v>0</v>
      </c>
      <c r="DU19" s="40">
        <f t="shared" si="9"/>
        <v>0</v>
      </c>
      <c r="DV19" s="151"/>
      <c r="DW19" s="85">
        <v>45823</v>
      </c>
      <c r="DX19" s="40">
        <v>31245000</v>
      </c>
      <c r="DY19" s="102">
        <v>5.7000000000000002E-2</v>
      </c>
      <c r="DZ19" s="40">
        <f t="shared" si="31"/>
        <v>1884370</v>
      </c>
      <c r="EA19" s="40"/>
      <c r="EB19" s="40">
        <f t="shared" si="10"/>
        <v>33129370</v>
      </c>
      <c r="EC19" s="40"/>
      <c r="ED19" s="85">
        <v>45823</v>
      </c>
      <c r="EI19" s="40">
        <f t="shared" si="11"/>
        <v>0</v>
      </c>
      <c r="EJ19" s="85"/>
      <c r="EK19" s="85">
        <v>45823</v>
      </c>
      <c r="EQ19" s="85">
        <v>45823</v>
      </c>
      <c r="ER19" s="40"/>
      <c r="ES19" s="101"/>
      <c r="ET19" s="40">
        <f t="shared" si="33"/>
        <v>0</v>
      </c>
      <c r="EU19" s="40">
        <f t="shared" si="12"/>
        <v>0</v>
      </c>
      <c r="EW19" s="85">
        <v>45823</v>
      </c>
      <c r="EY19" s="101"/>
      <c r="EZ19" s="40">
        <f t="shared" si="34"/>
        <v>0</v>
      </c>
      <c r="FA19" s="40">
        <f t="shared" si="13"/>
        <v>0</v>
      </c>
      <c r="FC19" s="85">
        <v>45823</v>
      </c>
      <c r="FD19" s="40"/>
      <c r="FE19" s="87"/>
      <c r="FF19" s="40"/>
      <c r="FG19" s="40"/>
      <c r="FH19" s="40">
        <f t="shared" si="14"/>
        <v>0</v>
      </c>
      <c r="FJ19" s="85">
        <v>45823</v>
      </c>
      <c r="FK19" s="40"/>
      <c r="FL19" s="87"/>
      <c r="FM19" s="40"/>
      <c r="FN19" s="40"/>
      <c r="FO19" s="40">
        <f t="shared" si="15"/>
        <v>0</v>
      </c>
      <c r="FQ19" s="85">
        <v>45823</v>
      </c>
      <c r="FV19" s="40">
        <f t="shared" si="16"/>
        <v>0</v>
      </c>
      <c r="FX19" s="85">
        <v>45823</v>
      </c>
      <c r="GC19" s="40">
        <f t="shared" si="17"/>
        <v>0</v>
      </c>
    </row>
    <row r="20" spans="2:185" x14ac:dyDescent="0.25">
      <c r="B20" s="85">
        <v>46022</v>
      </c>
      <c r="C20" s="85"/>
      <c r="D20" s="85">
        <v>46006</v>
      </c>
      <c r="E20" s="40">
        <f t="shared" si="18"/>
        <v>16585000</v>
      </c>
      <c r="F20" s="40">
        <f t="shared" si="19"/>
        <v>19183700</v>
      </c>
      <c r="G20" s="40">
        <f t="shared" si="20"/>
        <v>0</v>
      </c>
      <c r="H20" s="40">
        <v>0</v>
      </c>
      <c r="I20" s="40">
        <f t="shared" si="21"/>
        <v>35768700</v>
      </c>
      <c r="J20" s="40"/>
      <c r="L20" s="85">
        <v>46006</v>
      </c>
      <c r="M20" s="40">
        <v>16585000</v>
      </c>
      <c r="N20" s="156">
        <v>0.05</v>
      </c>
      <c r="O20" s="40">
        <f t="shared" si="35"/>
        <v>2877250</v>
      </c>
      <c r="P20" s="40">
        <v>0</v>
      </c>
      <c r="Q20" s="40"/>
      <c r="R20" s="40">
        <f t="shared" si="22"/>
        <v>19462250</v>
      </c>
      <c r="T20" s="85">
        <v>46006</v>
      </c>
      <c r="U20" s="40"/>
      <c r="V20" s="101"/>
      <c r="W20" s="40">
        <f t="shared" si="23"/>
        <v>0</v>
      </c>
      <c r="X20" s="40"/>
      <c r="Y20" s="40"/>
      <c r="Z20" s="40">
        <f t="shared" si="24"/>
        <v>0</v>
      </c>
      <c r="AB20" s="85">
        <v>46006</v>
      </c>
      <c r="AC20" s="40"/>
      <c r="AD20" s="101"/>
      <c r="AE20" s="40">
        <f t="shared" si="25"/>
        <v>0</v>
      </c>
      <c r="AF20" s="40"/>
      <c r="AG20" s="40"/>
      <c r="AH20" s="40">
        <f t="shared" si="26"/>
        <v>0</v>
      </c>
      <c r="AJ20" s="85">
        <v>46006</v>
      </c>
      <c r="AK20" s="40"/>
      <c r="AL20" s="101"/>
      <c r="AM20" s="40">
        <f t="shared" si="27"/>
        <v>0</v>
      </c>
      <c r="AN20" s="40"/>
      <c r="AO20" s="40"/>
      <c r="AP20" s="40">
        <f t="shared" si="28"/>
        <v>0</v>
      </c>
      <c r="AR20" s="85">
        <v>46006</v>
      </c>
      <c r="AS20" s="40"/>
      <c r="AT20" s="101"/>
      <c r="AU20" s="40"/>
      <c r="AV20" s="101"/>
      <c r="AW20" s="40">
        <f t="shared" si="1"/>
        <v>0</v>
      </c>
      <c r="AX20" s="40"/>
      <c r="AY20" s="40"/>
      <c r="AZ20" s="40">
        <f t="shared" si="2"/>
        <v>0</v>
      </c>
      <c r="BB20" s="85">
        <v>46006</v>
      </c>
      <c r="BC20" s="40"/>
      <c r="BD20" s="101"/>
      <c r="BE20" s="40">
        <f t="shared" si="3"/>
        <v>0</v>
      </c>
      <c r="BF20" s="40"/>
      <c r="BG20" s="40">
        <f t="shared" si="4"/>
        <v>0</v>
      </c>
      <c r="BI20" s="85">
        <v>46006</v>
      </c>
      <c r="BJ20" s="40"/>
      <c r="BK20" s="40"/>
      <c r="BL20" s="40"/>
      <c r="BM20" s="40"/>
      <c r="BN20" s="40">
        <v>0</v>
      </c>
      <c r="BP20" s="85">
        <v>46006</v>
      </c>
      <c r="BQ20" s="40"/>
      <c r="BR20" s="40"/>
      <c r="BS20" s="40"/>
      <c r="BT20" s="40"/>
      <c r="BU20" s="40">
        <v>0</v>
      </c>
      <c r="BW20" s="85">
        <v>46006</v>
      </c>
      <c r="BX20" s="40"/>
      <c r="BY20" s="40"/>
      <c r="BZ20" s="40"/>
      <c r="CA20" s="40"/>
      <c r="CB20" s="40">
        <v>0</v>
      </c>
      <c r="CD20" s="85">
        <v>46006</v>
      </c>
      <c r="CE20" s="40"/>
      <c r="CF20" s="40"/>
      <c r="CG20" s="40"/>
      <c r="CH20" s="40">
        <v>0</v>
      </c>
      <c r="CJ20" s="85">
        <v>46006</v>
      </c>
      <c r="CK20" s="40"/>
      <c r="CL20" s="87">
        <v>0</v>
      </c>
      <c r="CM20" s="40">
        <f t="shared" si="29"/>
        <v>2426875</v>
      </c>
      <c r="CN20" s="40">
        <f t="shared" si="32"/>
        <v>2426875</v>
      </c>
      <c r="CP20" s="85">
        <v>46006</v>
      </c>
      <c r="CQ20" s="40"/>
      <c r="CR20" s="87"/>
      <c r="CS20" s="40">
        <f t="shared" si="30"/>
        <v>12885687.5</v>
      </c>
      <c r="CT20" s="40"/>
      <c r="CU20" s="40">
        <f t="shared" si="5"/>
        <v>12885687.5</v>
      </c>
      <c r="CV20" s="151"/>
      <c r="CW20" s="85">
        <v>46006</v>
      </c>
      <c r="CY20" s="40"/>
      <c r="CZ20" s="87"/>
      <c r="DB20" s="40">
        <v>0</v>
      </c>
      <c r="DC20" s="151"/>
      <c r="DD20" s="85">
        <v>46006</v>
      </c>
      <c r="DE20" s="40"/>
      <c r="DF20" s="87"/>
      <c r="DG20" s="40"/>
      <c r="DH20" s="87"/>
      <c r="DI20" s="40"/>
      <c r="DJ20" s="87"/>
      <c r="DK20" s="40"/>
      <c r="DL20" s="87"/>
      <c r="DM20" s="40">
        <f t="shared" si="6"/>
        <v>0</v>
      </c>
      <c r="DN20" s="40"/>
      <c r="DO20" s="40">
        <f t="shared" si="7"/>
        <v>0</v>
      </c>
      <c r="DP20" s="151"/>
      <c r="DQ20" s="85">
        <v>46006</v>
      </c>
      <c r="DR20" s="40"/>
      <c r="DS20" s="87"/>
      <c r="DT20" s="40">
        <f t="shared" si="8"/>
        <v>0</v>
      </c>
      <c r="DU20" s="40">
        <f t="shared" si="9"/>
        <v>0</v>
      </c>
      <c r="DV20" s="151"/>
      <c r="DW20" s="85">
        <v>46006</v>
      </c>
      <c r="DX20" s="40"/>
      <c r="DY20" s="102"/>
      <c r="DZ20" s="40">
        <f t="shared" si="31"/>
        <v>993887.5</v>
      </c>
      <c r="EA20" s="40"/>
      <c r="EB20" s="40">
        <f t="shared" si="10"/>
        <v>993887.5</v>
      </c>
      <c r="EC20" s="40"/>
      <c r="ED20" s="85">
        <v>46006</v>
      </c>
      <c r="EI20" s="40">
        <f t="shared" si="11"/>
        <v>0</v>
      </c>
      <c r="EJ20" s="85"/>
      <c r="EK20" s="85">
        <v>46006</v>
      </c>
      <c r="EQ20" s="85">
        <v>46006</v>
      </c>
      <c r="ER20" s="40"/>
      <c r="ES20" s="101"/>
      <c r="ET20" s="40">
        <f t="shared" si="33"/>
        <v>0</v>
      </c>
      <c r="EU20" s="40">
        <f t="shared" si="12"/>
        <v>0</v>
      </c>
      <c r="EW20" s="85">
        <v>46006</v>
      </c>
      <c r="EY20" s="101"/>
      <c r="EZ20" s="40">
        <f t="shared" si="34"/>
        <v>0</v>
      </c>
      <c r="FA20" s="40">
        <f t="shared" si="13"/>
        <v>0</v>
      </c>
      <c r="FC20" s="85">
        <v>46006</v>
      </c>
      <c r="FH20" s="40">
        <f t="shared" si="14"/>
        <v>0</v>
      </c>
      <c r="FJ20" s="85">
        <v>46006</v>
      </c>
      <c r="FK20" s="40"/>
      <c r="FL20" s="87"/>
      <c r="FM20" s="40"/>
      <c r="FN20" s="40"/>
      <c r="FO20" s="40">
        <f t="shared" si="15"/>
        <v>0</v>
      </c>
      <c r="FQ20" s="85">
        <v>46006</v>
      </c>
      <c r="FV20" s="40">
        <f t="shared" si="16"/>
        <v>0</v>
      </c>
      <c r="FX20" s="85">
        <v>46006</v>
      </c>
      <c r="GC20" s="40">
        <f t="shared" si="17"/>
        <v>0</v>
      </c>
    </row>
    <row r="21" spans="2:185" x14ac:dyDescent="0.25">
      <c r="B21" s="85">
        <v>46203</v>
      </c>
      <c r="C21" s="85"/>
      <c r="D21" s="85">
        <v>46188</v>
      </c>
      <c r="E21" s="40">
        <f t="shared" si="18"/>
        <v>32480000</v>
      </c>
      <c r="F21" s="40">
        <f t="shared" si="19"/>
        <v>18769075</v>
      </c>
      <c r="G21" s="40">
        <f t="shared" si="20"/>
        <v>0</v>
      </c>
      <c r="H21" s="40">
        <v>0</v>
      </c>
      <c r="I21" s="40">
        <f t="shared" si="21"/>
        <v>51249075</v>
      </c>
      <c r="J21" s="40">
        <f>SUM(I20:I21)</f>
        <v>87017775</v>
      </c>
      <c r="L21" s="85">
        <v>46188</v>
      </c>
      <c r="M21" s="40"/>
      <c r="N21" s="101"/>
      <c r="O21" s="40">
        <f t="shared" si="35"/>
        <v>2462625</v>
      </c>
      <c r="P21" s="40">
        <v>0</v>
      </c>
      <c r="Q21" s="40"/>
      <c r="R21" s="40">
        <f t="shared" si="22"/>
        <v>2462625</v>
      </c>
      <c r="T21" s="85">
        <v>46188</v>
      </c>
      <c r="U21" s="40"/>
      <c r="V21" s="101"/>
      <c r="W21" s="40">
        <f t="shared" si="23"/>
        <v>0</v>
      </c>
      <c r="X21" s="40"/>
      <c r="Y21" s="40"/>
      <c r="Z21" s="40">
        <f t="shared" si="24"/>
        <v>0</v>
      </c>
      <c r="AB21" s="85">
        <v>46188</v>
      </c>
      <c r="AC21" s="40"/>
      <c r="AD21" s="101"/>
      <c r="AE21" s="40">
        <f t="shared" si="25"/>
        <v>0</v>
      </c>
      <c r="AF21" s="40"/>
      <c r="AG21" s="40"/>
      <c r="AH21" s="40">
        <f t="shared" si="26"/>
        <v>0</v>
      </c>
      <c r="AJ21" s="85">
        <v>46188</v>
      </c>
      <c r="AK21" s="40"/>
      <c r="AL21" s="101"/>
      <c r="AM21" s="40">
        <f t="shared" si="27"/>
        <v>0</v>
      </c>
      <c r="AN21" s="40"/>
      <c r="AO21" s="40"/>
      <c r="AP21" s="40">
        <f t="shared" si="28"/>
        <v>0</v>
      </c>
      <c r="AR21" s="85">
        <v>46188</v>
      </c>
      <c r="AS21" s="40"/>
      <c r="AT21" s="101"/>
      <c r="AU21" s="40"/>
      <c r="AV21" s="101"/>
      <c r="AW21" s="40">
        <f t="shared" si="1"/>
        <v>0</v>
      </c>
      <c r="AX21" s="40"/>
      <c r="AY21" s="40"/>
      <c r="AZ21" s="40">
        <f t="shared" si="2"/>
        <v>0</v>
      </c>
      <c r="BB21" s="85">
        <v>46188</v>
      </c>
      <c r="BC21" s="40"/>
      <c r="BD21" s="101"/>
      <c r="BE21" s="40">
        <f t="shared" si="3"/>
        <v>0</v>
      </c>
      <c r="BF21" s="40"/>
      <c r="BG21" s="40">
        <f t="shared" si="4"/>
        <v>0</v>
      </c>
      <c r="BI21" s="85">
        <v>46188</v>
      </c>
      <c r="BJ21" s="40"/>
      <c r="BK21" s="40"/>
      <c r="BL21" s="40"/>
      <c r="BM21" s="40"/>
      <c r="BN21" s="40">
        <v>0</v>
      </c>
      <c r="BP21" s="85">
        <v>46188</v>
      </c>
      <c r="BQ21" s="40"/>
      <c r="BR21" s="40"/>
      <c r="BS21" s="40"/>
      <c r="BT21" s="40"/>
      <c r="BU21" s="40">
        <v>0</v>
      </c>
      <c r="BW21" s="85">
        <v>46188</v>
      </c>
      <c r="BX21" s="40"/>
      <c r="BY21" s="40"/>
      <c r="BZ21" s="40"/>
      <c r="CA21" s="40"/>
      <c r="CB21" s="40">
        <v>0</v>
      </c>
      <c r="CD21" s="85">
        <v>46188</v>
      </c>
      <c r="CE21" s="40"/>
      <c r="CF21" s="40"/>
      <c r="CG21" s="40"/>
      <c r="CH21" s="40">
        <v>0</v>
      </c>
      <c r="CJ21" s="85">
        <v>46188</v>
      </c>
      <c r="CK21" s="40"/>
      <c r="CL21" s="87">
        <v>0</v>
      </c>
      <c r="CM21" s="40">
        <f t="shared" si="29"/>
        <v>2426875</v>
      </c>
      <c r="CN21" s="40">
        <f t="shared" si="32"/>
        <v>2426875</v>
      </c>
      <c r="CP21" s="85">
        <v>46188</v>
      </c>
      <c r="CQ21" s="40"/>
      <c r="CR21" s="87"/>
      <c r="CS21" s="40">
        <f t="shared" si="30"/>
        <v>12885687.5</v>
      </c>
      <c r="CT21" s="40"/>
      <c r="CU21" s="40">
        <f t="shared" si="5"/>
        <v>12885687.5</v>
      </c>
      <c r="CV21" s="151"/>
      <c r="CW21" s="85">
        <v>46188</v>
      </c>
      <c r="CY21" s="40"/>
      <c r="CZ21" s="87"/>
      <c r="DB21" s="40">
        <v>0</v>
      </c>
      <c r="DC21" s="151"/>
      <c r="DD21" s="85">
        <v>46188</v>
      </c>
      <c r="DE21" s="40"/>
      <c r="DF21" s="87"/>
      <c r="DG21" s="40"/>
      <c r="DH21" s="87"/>
      <c r="DI21" s="40"/>
      <c r="DJ21" s="87"/>
      <c r="DK21" s="40"/>
      <c r="DL21" s="87"/>
      <c r="DM21" s="40">
        <f t="shared" si="6"/>
        <v>0</v>
      </c>
      <c r="DN21" s="40"/>
      <c r="DO21" s="40">
        <f t="shared" si="7"/>
        <v>0</v>
      </c>
      <c r="DP21" s="151"/>
      <c r="DQ21" s="85">
        <v>46188</v>
      </c>
      <c r="DR21" s="40"/>
      <c r="DS21" s="87"/>
      <c r="DT21" s="40">
        <f t="shared" si="8"/>
        <v>0</v>
      </c>
      <c r="DU21" s="40">
        <f t="shared" si="9"/>
        <v>0</v>
      </c>
      <c r="DV21" s="151"/>
      <c r="DW21" s="85">
        <v>46188</v>
      </c>
      <c r="DX21" s="40">
        <v>32480000</v>
      </c>
      <c r="DY21" s="102">
        <v>5.7500000000000002E-2</v>
      </c>
      <c r="DZ21" s="40">
        <f t="shared" si="31"/>
        <v>993887.5</v>
      </c>
      <c r="EA21" s="40"/>
      <c r="EB21" s="40">
        <f t="shared" si="10"/>
        <v>33473887.5</v>
      </c>
      <c r="EC21" s="40"/>
      <c r="ED21" s="85">
        <v>46188</v>
      </c>
      <c r="EI21" s="40">
        <f t="shared" si="11"/>
        <v>0</v>
      </c>
      <c r="EJ21" s="85"/>
      <c r="EK21" s="85">
        <v>46188</v>
      </c>
      <c r="EQ21" s="85">
        <v>46188</v>
      </c>
      <c r="ER21" s="40"/>
      <c r="ES21" s="101"/>
      <c r="ET21" s="40">
        <f t="shared" si="33"/>
        <v>0</v>
      </c>
      <c r="EU21" s="40">
        <f t="shared" si="12"/>
        <v>0</v>
      </c>
      <c r="EW21" s="85">
        <v>46188</v>
      </c>
      <c r="EY21" s="101"/>
      <c r="EZ21" s="40">
        <f t="shared" si="34"/>
        <v>0</v>
      </c>
      <c r="FA21" s="40">
        <f t="shared" si="13"/>
        <v>0</v>
      </c>
      <c r="FC21" s="85">
        <v>46188</v>
      </c>
      <c r="FH21" s="40">
        <f t="shared" si="14"/>
        <v>0</v>
      </c>
      <c r="FJ21" s="85">
        <v>46188</v>
      </c>
      <c r="FK21" s="40"/>
      <c r="FL21" s="87"/>
      <c r="FM21" s="40"/>
      <c r="FN21" s="40"/>
      <c r="FO21" s="40">
        <f t="shared" si="15"/>
        <v>0</v>
      </c>
      <c r="FQ21" s="85">
        <v>46188</v>
      </c>
      <c r="FV21" s="40">
        <f t="shared" si="16"/>
        <v>0</v>
      </c>
      <c r="FX21" s="85">
        <v>46188</v>
      </c>
      <c r="GC21" s="40">
        <f t="shared" si="17"/>
        <v>0</v>
      </c>
    </row>
    <row r="22" spans="2:185" x14ac:dyDescent="0.25">
      <c r="B22" s="85">
        <v>46387</v>
      </c>
      <c r="C22" s="85"/>
      <c r="D22" s="85">
        <v>46371</v>
      </c>
      <c r="E22" s="40">
        <f t="shared" si="18"/>
        <v>79435000</v>
      </c>
      <c r="F22" s="40">
        <f t="shared" si="19"/>
        <v>17835275</v>
      </c>
      <c r="G22" s="40">
        <f t="shared" si="20"/>
        <v>0</v>
      </c>
      <c r="H22" s="40">
        <v>0</v>
      </c>
      <c r="I22" s="40">
        <f t="shared" si="21"/>
        <v>97270275</v>
      </c>
      <c r="J22" s="40"/>
      <c r="L22" s="85">
        <v>46371</v>
      </c>
      <c r="M22" s="40">
        <v>31865000</v>
      </c>
      <c r="N22" s="156">
        <v>0.05</v>
      </c>
      <c r="O22" s="40">
        <f t="shared" si="35"/>
        <v>2462625</v>
      </c>
      <c r="P22" s="40">
        <v>0</v>
      </c>
      <c r="Q22" s="40"/>
      <c r="R22" s="40">
        <f t="shared" si="22"/>
        <v>34327625</v>
      </c>
      <c r="T22" s="85">
        <v>46371</v>
      </c>
      <c r="U22" s="40"/>
      <c r="V22" s="101"/>
      <c r="W22" s="40">
        <f t="shared" si="23"/>
        <v>0</v>
      </c>
      <c r="X22" s="40"/>
      <c r="Y22" s="40"/>
      <c r="Z22" s="40">
        <f t="shared" si="24"/>
        <v>0</v>
      </c>
      <c r="AB22" s="85">
        <v>46371</v>
      </c>
      <c r="AC22" s="40"/>
      <c r="AD22" s="101"/>
      <c r="AE22" s="40">
        <f t="shared" si="25"/>
        <v>0</v>
      </c>
      <c r="AF22" s="40"/>
      <c r="AG22" s="40"/>
      <c r="AH22" s="40">
        <f t="shared" si="26"/>
        <v>0</v>
      </c>
      <c r="AJ22" s="85">
        <v>46371</v>
      </c>
      <c r="AK22" s="40"/>
      <c r="AL22" s="101"/>
      <c r="AM22" s="40">
        <f t="shared" si="27"/>
        <v>0</v>
      </c>
      <c r="AN22" s="40"/>
      <c r="AO22" s="40"/>
      <c r="AP22" s="40">
        <f t="shared" si="28"/>
        <v>0</v>
      </c>
      <c r="AR22" s="85">
        <v>46371</v>
      </c>
      <c r="AS22" s="40"/>
      <c r="AT22" s="101"/>
      <c r="AU22" s="40"/>
      <c r="AV22" s="101"/>
      <c r="AW22" s="40">
        <f t="shared" si="1"/>
        <v>0</v>
      </c>
      <c r="AX22" s="40"/>
      <c r="AY22" s="40"/>
      <c r="AZ22" s="40">
        <f t="shared" si="2"/>
        <v>0</v>
      </c>
      <c r="BB22" s="85">
        <v>46371</v>
      </c>
      <c r="BC22" s="40"/>
      <c r="BD22" s="101"/>
      <c r="BE22" s="40">
        <f t="shared" si="3"/>
        <v>0</v>
      </c>
      <c r="BF22" s="40"/>
      <c r="BG22" s="40">
        <f t="shared" si="4"/>
        <v>0</v>
      </c>
      <c r="BI22" s="85">
        <v>46371</v>
      </c>
      <c r="BJ22" s="40"/>
      <c r="BK22" s="40"/>
      <c r="BL22" s="40"/>
      <c r="BM22" s="40"/>
      <c r="BN22" s="40">
        <v>0</v>
      </c>
      <c r="BP22" s="85">
        <v>46371</v>
      </c>
      <c r="BQ22" s="40"/>
      <c r="BR22" s="40"/>
      <c r="BS22" s="40"/>
      <c r="BT22" s="40"/>
      <c r="BU22" s="40">
        <v>0</v>
      </c>
      <c r="BW22" s="85">
        <v>46371</v>
      </c>
      <c r="BX22" s="40"/>
      <c r="BY22" s="40"/>
      <c r="BZ22" s="40"/>
      <c r="CA22" s="40"/>
      <c r="CB22" s="40">
        <v>0</v>
      </c>
      <c r="CD22" s="85">
        <v>46371</v>
      </c>
      <c r="CE22" s="40"/>
      <c r="CF22" s="40"/>
      <c r="CG22" s="40"/>
      <c r="CH22" s="40">
        <v>0</v>
      </c>
      <c r="CJ22" s="85">
        <v>46371</v>
      </c>
      <c r="CK22" s="40"/>
      <c r="CL22" s="87">
        <v>0</v>
      </c>
      <c r="CM22" s="40">
        <f t="shared" si="29"/>
        <v>2426875</v>
      </c>
      <c r="CN22" s="40">
        <f t="shared" si="32"/>
        <v>2426875</v>
      </c>
      <c r="CP22" s="85">
        <v>46371</v>
      </c>
      <c r="CQ22" s="40">
        <v>47570000</v>
      </c>
      <c r="CR22" s="87">
        <v>0.05</v>
      </c>
      <c r="CS22" s="40">
        <f t="shared" si="30"/>
        <v>12885687.5</v>
      </c>
      <c r="CT22" s="40"/>
      <c r="CU22" s="40">
        <f t="shared" si="5"/>
        <v>60455687.5</v>
      </c>
      <c r="CV22" s="151"/>
      <c r="CW22" s="85">
        <v>46371</v>
      </c>
      <c r="CY22" s="40"/>
      <c r="CZ22" s="87"/>
      <c r="DB22" s="40">
        <v>0</v>
      </c>
      <c r="DC22" s="151"/>
      <c r="DD22" s="85">
        <v>46371</v>
      </c>
      <c r="DE22" s="40"/>
      <c r="DF22" s="87"/>
      <c r="DG22" s="40"/>
      <c r="DH22" s="87"/>
      <c r="DI22" s="40"/>
      <c r="DJ22" s="87"/>
      <c r="DK22" s="40"/>
      <c r="DL22" s="87"/>
      <c r="DM22" s="40">
        <f t="shared" si="6"/>
        <v>0</v>
      </c>
      <c r="DN22" s="40"/>
      <c r="DO22" s="40">
        <f t="shared" si="7"/>
        <v>0</v>
      </c>
      <c r="DP22" s="151"/>
      <c r="DQ22" s="85">
        <v>46371</v>
      </c>
      <c r="DR22" s="40"/>
      <c r="DS22" s="87"/>
      <c r="DT22" s="40">
        <f t="shared" si="8"/>
        <v>0</v>
      </c>
      <c r="DU22" s="40">
        <f t="shared" si="9"/>
        <v>0</v>
      </c>
      <c r="DV22" s="151"/>
      <c r="DW22" s="85">
        <v>46371</v>
      </c>
      <c r="DX22" s="40"/>
      <c r="DY22" s="102"/>
      <c r="DZ22" s="40">
        <f t="shared" si="31"/>
        <v>60087.5</v>
      </c>
      <c r="EA22" s="40"/>
      <c r="EB22" s="40">
        <f t="shared" si="10"/>
        <v>60087.5</v>
      </c>
      <c r="EC22" s="40"/>
      <c r="ED22" s="85">
        <v>46371</v>
      </c>
      <c r="EI22" s="40">
        <f t="shared" si="11"/>
        <v>0</v>
      </c>
      <c r="EJ22" s="85"/>
      <c r="EK22" s="85">
        <v>46371</v>
      </c>
      <c r="EQ22" s="85">
        <v>46371</v>
      </c>
      <c r="ER22" s="40"/>
      <c r="ES22" s="101"/>
      <c r="ET22" s="40">
        <f t="shared" si="33"/>
        <v>0</v>
      </c>
      <c r="EU22" s="40">
        <f t="shared" si="12"/>
        <v>0</v>
      </c>
      <c r="EW22" s="85">
        <v>46371</v>
      </c>
      <c r="EY22" s="101"/>
      <c r="EZ22" s="40">
        <f t="shared" si="34"/>
        <v>0</v>
      </c>
      <c r="FA22" s="40">
        <f t="shared" si="13"/>
        <v>0</v>
      </c>
      <c r="FC22" s="85">
        <v>46371</v>
      </c>
      <c r="FH22" s="40">
        <f t="shared" si="14"/>
        <v>0</v>
      </c>
      <c r="FJ22" s="85">
        <v>46371</v>
      </c>
      <c r="FK22" s="40"/>
      <c r="FL22" s="87"/>
      <c r="FM22" s="40"/>
      <c r="FN22" s="40"/>
      <c r="FO22" s="40">
        <f t="shared" si="15"/>
        <v>0</v>
      </c>
      <c r="FQ22" s="85">
        <v>46371</v>
      </c>
      <c r="FV22" s="40">
        <f t="shared" si="16"/>
        <v>0</v>
      </c>
      <c r="FX22" s="85">
        <v>46371</v>
      </c>
      <c r="GC22" s="40">
        <f t="shared" si="17"/>
        <v>0</v>
      </c>
    </row>
    <row r="23" spans="2:185" x14ac:dyDescent="0.25">
      <c r="B23" s="85">
        <v>46568</v>
      </c>
      <c r="C23" s="85"/>
      <c r="D23" s="85">
        <v>46553</v>
      </c>
      <c r="E23" s="40">
        <f t="shared" si="18"/>
        <v>14505000</v>
      </c>
      <c r="F23" s="40">
        <f t="shared" si="19"/>
        <v>15849400</v>
      </c>
      <c r="G23" s="40">
        <f t="shared" si="20"/>
        <v>0</v>
      </c>
      <c r="H23" s="40">
        <v>0</v>
      </c>
      <c r="I23" s="40">
        <f t="shared" si="21"/>
        <v>30354400</v>
      </c>
      <c r="J23" s="40">
        <f>SUM(I22:I23)</f>
        <v>127624675</v>
      </c>
      <c r="L23" s="85">
        <v>46553</v>
      </c>
      <c r="M23" s="40">
        <v>12415000</v>
      </c>
      <c r="N23" s="156">
        <v>0.05</v>
      </c>
      <c r="O23" s="40">
        <f t="shared" si="35"/>
        <v>1666000</v>
      </c>
      <c r="P23" s="40">
        <v>0</v>
      </c>
      <c r="Q23" s="40"/>
      <c r="R23" s="40">
        <f t="shared" si="22"/>
        <v>14081000</v>
      </c>
      <c r="T23" s="85">
        <v>46553</v>
      </c>
      <c r="U23" s="40"/>
      <c r="V23" s="101"/>
      <c r="W23" s="40">
        <f t="shared" si="23"/>
        <v>0</v>
      </c>
      <c r="X23" s="40"/>
      <c r="Y23" s="40"/>
      <c r="Z23" s="40">
        <f t="shared" si="24"/>
        <v>0</v>
      </c>
      <c r="AB23" s="85">
        <v>46553</v>
      </c>
      <c r="AC23" s="40"/>
      <c r="AD23" s="101"/>
      <c r="AE23" s="40">
        <f t="shared" si="25"/>
        <v>0</v>
      </c>
      <c r="AF23" s="40"/>
      <c r="AG23" s="40"/>
      <c r="AH23" s="40">
        <f t="shared" si="26"/>
        <v>0</v>
      </c>
      <c r="AJ23" s="85">
        <v>46553</v>
      </c>
      <c r="AK23" s="40"/>
      <c r="AL23" s="101"/>
      <c r="AM23" s="40">
        <f t="shared" si="27"/>
        <v>0</v>
      </c>
      <c r="AN23" s="40"/>
      <c r="AO23" s="40"/>
      <c r="AP23" s="40">
        <f t="shared" si="28"/>
        <v>0</v>
      </c>
      <c r="AR23" s="85">
        <v>46553</v>
      </c>
      <c r="AS23" s="40"/>
      <c r="AT23" s="101"/>
      <c r="AU23" s="40"/>
      <c r="AV23" s="101"/>
      <c r="AW23" s="40">
        <f t="shared" si="1"/>
        <v>0</v>
      </c>
      <c r="AX23" s="40"/>
      <c r="AY23" s="40"/>
      <c r="AZ23" s="40">
        <f t="shared" si="2"/>
        <v>0</v>
      </c>
      <c r="BB23" s="85">
        <v>46553</v>
      </c>
      <c r="BC23" s="40"/>
      <c r="BD23" s="101"/>
      <c r="BE23" s="40">
        <f t="shared" si="3"/>
        <v>0</v>
      </c>
      <c r="BF23" s="40"/>
      <c r="BG23" s="40">
        <f t="shared" si="4"/>
        <v>0</v>
      </c>
      <c r="BI23" s="85">
        <v>46553</v>
      </c>
      <c r="BJ23" s="40"/>
      <c r="BK23" s="40"/>
      <c r="BL23" s="40"/>
      <c r="BM23" s="40"/>
      <c r="BN23" s="40">
        <v>0</v>
      </c>
      <c r="BP23" s="85">
        <v>46553</v>
      </c>
      <c r="BQ23" s="40"/>
      <c r="BR23" s="40"/>
      <c r="BS23" s="40"/>
      <c r="BT23" s="40"/>
      <c r="BU23" s="40">
        <v>0</v>
      </c>
      <c r="BW23" s="85">
        <v>46553</v>
      </c>
      <c r="BX23" s="40"/>
      <c r="BY23" s="40"/>
      <c r="BZ23" s="40"/>
      <c r="CA23" s="40"/>
      <c r="CB23" s="40">
        <v>0</v>
      </c>
      <c r="CD23" s="85">
        <v>46553</v>
      </c>
      <c r="CE23" s="40"/>
      <c r="CF23" s="40"/>
      <c r="CG23" s="40"/>
      <c r="CH23" s="40">
        <v>0</v>
      </c>
      <c r="CJ23" s="85">
        <v>46553</v>
      </c>
      <c r="CK23" s="40"/>
      <c r="CL23" s="87">
        <v>0</v>
      </c>
      <c r="CM23" s="40">
        <f t="shared" si="29"/>
        <v>2426875</v>
      </c>
      <c r="CN23" s="40">
        <f t="shared" si="32"/>
        <v>2426875</v>
      </c>
      <c r="CP23" s="85">
        <v>46553</v>
      </c>
      <c r="CQ23" s="40"/>
      <c r="CR23" s="87"/>
      <c r="CS23" s="40">
        <f t="shared" si="30"/>
        <v>11696437.5</v>
      </c>
      <c r="CT23" s="40"/>
      <c r="CU23" s="40">
        <f t="shared" si="5"/>
        <v>11696437.5</v>
      </c>
      <c r="CV23" s="151"/>
      <c r="CW23" s="85">
        <v>46553</v>
      </c>
      <c r="CY23" s="40"/>
      <c r="CZ23" s="87"/>
      <c r="DB23" s="40">
        <v>0</v>
      </c>
      <c r="DC23" s="151"/>
      <c r="DD23" s="85">
        <v>46553</v>
      </c>
      <c r="DE23" s="40"/>
      <c r="DF23" s="87"/>
      <c r="DG23" s="40"/>
      <c r="DH23" s="87"/>
      <c r="DI23" s="40"/>
      <c r="DJ23" s="87"/>
      <c r="DK23" s="40"/>
      <c r="DL23" s="87"/>
      <c r="DM23" s="40">
        <f t="shared" si="6"/>
        <v>0</v>
      </c>
      <c r="DN23" s="40"/>
      <c r="DO23" s="40">
        <f t="shared" si="7"/>
        <v>0</v>
      </c>
      <c r="DP23" s="151"/>
      <c r="DQ23" s="85">
        <v>46553</v>
      </c>
      <c r="DR23" s="40"/>
      <c r="DS23" s="87"/>
      <c r="DT23" s="40">
        <f t="shared" si="8"/>
        <v>0</v>
      </c>
      <c r="DU23" s="40">
        <f t="shared" si="9"/>
        <v>0</v>
      </c>
      <c r="DV23" s="151"/>
      <c r="DW23" s="85">
        <v>46553</v>
      </c>
      <c r="DX23" s="40">
        <v>2090000</v>
      </c>
      <c r="DY23" s="102">
        <v>5.7500000000000002E-2</v>
      </c>
      <c r="DZ23" s="40">
        <f>(DX23*DY23)/2+DZ24</f>
        <v>60087.5</v>
      </c>
      <c r="EA23" s="40"/>
      <c r="EB23" s="40">
        <f t="shared" si="10"/>
        <v>2150087.5</v>
      </c>
      <c r="EC23" s="40"/>
      <c r="ED23" s="85">
        <v>46553</v>
      </c>
      <c r="EI23" s="40">
        <f t="shared" si="11"/>
        <v>0</v>
      </c>
      <c r="EJ23" s="85"/>
      <c r="EK23" s="85">
        <v>46553</v>
      </c>
      <c r="EQ23" s="85">
        <v>46553</v>
      </c>
      <c r="ER23" s="40"/>
      <c r="ES23" s="101"/>
      <c r="ET23" s="40">
        <f t="shared" si="33"/>
        <v>0</v>
      </c>
      <c r="EU23" s="40">
        <f t="shared" si="12"/>
        <v>0</v>
      </c>
      <c r="EW23" s="85">
        <v>46553</v>
      </c>
      <c r="EY23" s="101"/>
      <c r="EZ23" s="40">
        <f t="shared" si="34"/>
        <v>0</v>
      </c>
      <c r="FA23" s="40">
        <f t="shared" si="13"/>
        <v>0</v>
      </c>
      <c r="FC23" s="85">
        <v>46553</v>
      </c>
      <c r="FH23" s="40">
        <f t="shared" si="14"/>
        <v>0</v>
      </c>
      <c r="FJ23" s="85">
        <v>46553</v>
      </c>
      <c r="FK23" s="40"/>
      <c r="FL23" s="87"/>
      <c r="FM23" s="40"/>
      <c r="FN23" s="40"/>
      <c r="FO23" s="40">
        <f t="shared" si="15"/>
        <v>0</v>
      </c>
      <c r="FQ23" s="85">
        <v>46553</v>
      </c>
      <c r="FV23" s="40">
        <f t="shared" si="16"/>
        <v>0</v>
      </c>
      <c r="FX23" s="85">
        <v>46553</v>
      </c>
      <c r="GC23" s="40">
        <f t="shared" si="17"/>
        <v>0</v>
      </c>
    </row>
    <row r="24" spans="2:185" x14ac:dyDescent="0.25">
      <c r="B24" s="85">
        <v>46752</v>
      </c>
      <c r="C24" s="85"/>
      <c r="D24" s="85">
        <v>46736</v>
      </c>
      <c r="E24" s="40">
        <f t="shared" si="18"/>
        <v>141755000</v>
      </c>
      <c r="F24" s="40">
        <f t="shared" si="19"/>
        <v>15478937.5</v>
      </c>
      <c r="G24" s="40">
        <f t="shared" si="20"/>
        <v>0</v>
      </c>
      <c r="H24" s="40">
        <v>0</v>
      </c>
      <c r="I24" s="40">
        <f t="shared" si="21"/>
        <v>157233937.5</v>
      </c>
      <c r="J24" s="40"/>
      <c r="L24" s="85">
        <v>46736</v>
      </c>
      <c r="M24" s="40">
        <v>37400000</v>
      </c>
      <c r="N24" s="156">
        <v>0.05</v>
      </c>
      <c r="O24" s="40">
        <f t="shared" si="35"/>
        <v>1355625</v>
      </c>
      <c r="P24" s="40">
        <v>0</v>
      </c>
      <c r="Q24" s="40"/>
      <c r="R24" s="40">
        <f t="shared" si="22"/>
        <v>38755625</v>
      </c>
      <c r="T24" s="85">
        <v>46736</v>
      </c>
      <c r="U24" s="40"/>
      <c r="V24" s="101"/>
      <c r="W24" s="40">
        <f t="shared" si="23"/>
        <v>0</v>
      </c>
      <c r="X24" s="40"/>
      <c r="Y24" s="40"/>
      <c r="Z24" s="40">
        <f t="shared" si="24"/>
        <v>0</v>
      </c>
      <c r="AB24" s="85">
        <v>46736</v>
      </c>
      <c r="AC24" s="40"/>
      <c r="AD24" s="101"/>
      <c r="AE24" s="40">
        <f t="shared" si="25"/>
        <v>0</v>
      </c>
      <c r="AF24" s="40"/>
      <c r="AG24" s="40"/>
      <c r="AH24" s="40">
        <f t="shared" si="26"/>
        <v>0</v>
      </c>
      <c r="AJ24" s="85">
        <v>46736</v>
      </c>
      <c r="AK24" s="40"/>
      <c r="AL24" s="101"/>
      <c r="AM24" s="40">
        <f t="shared" si="27"/>
        <v>0</v>
      </c>
      <c r="AN24" s="40"/>
      <c r="AO24" s="40"/>
      <c r="AP24" s="40">
        <f t="shared" si="28"/>
        <v>0</v>
      </c>
      <c r="AR24" s="85">
        <v>46736</v>
      </c>
      <c r="AS24" s="40"/>
      <c r="AT24" s="101"/>
      <c r="AU24" s="40"/>
      <c r="AV24" s="101"/>
      <c r="AW24" s="40">
        <f t="shared" si="1"/>
        <v>0</v>
      </c>
      <c r="AX24" s="40"/>
      <c r="AY24" s="40"/>
      <c r="AZ24" s="40">
        <f t="shared" si="2"/>
        <v>0</v>
      </c>
      <c r="BB24" s="85">
        <v>46736</v>
      </c>
      <c r="BC24" s="40"/>
      <c r="BD24" s="101"/>
      <c r="BE24" s="40">
        <f t="shared" si="3"/>
        <v>0</v>
      </c>
      <c r="BF24" s="40"/>
      <c r="BG24" s="40">
        <f t="shared" si="4"/>
        <v>0</v>
      </c>
      <c r="BI24" s="85">
        <v>46736</v>
      </c>
      <c r="BJ24" s="40"/>
      <c r="BK24" s="40"/>
      <c r="BL24" s="40"/>
      <c r="BM24" s="40"/>
      <c r="BN24" s="40">
        <v>0</v>
      </c>
      <c r="BP24" s="85">
        <v>46736</v>
      </c>
      <c r="BQ24" s="40"/>
      <c r="BR24" s="40"/>
      <c r="BS24" s="40"/>
      <c r="BT24" s="40"/>
      <c r="BU24" s="40">
        <v>0</v>
      </c>
      <c r="BW24" s="85">
        <v>46736</v>
      </c>
      <c r="BX24" s="40"/>
      <c r="BY24" s="40"/>
      <c r="BZ24" s="40"/>
      <c r="CA24" s="40"/>
      <c r="CB24" s="40">
        <v>0</v>
      </c>
      <c r="CD24" s="85">
        <v>46736</v>
      </c>
      <c r="CE24" s="40"/>
      <c r="CF24" s="40"/>
      <c r="CG24" s="40"/>
      <c r="CH24" s="40">
        <v>0</v>
      </c>
      <c r="CJ24" s="85">
        <v>46736</v>
      </c>
      <c r="CK24" s="40"/>
      <c r="CL24" s="87">
        <v>0</v>
      </c>
      <c r="CM24" s="40">
        <f t="shared" si="29"/>
        <v>2426875</v>
      </c>
      <c r="CN24" s="40">
        <f t="shared" si="32"/>
        <v>2426875</v>
      </c>
      <c r="CP24" s="85">
        <v>46736</v>
      </c>
      <c r="CQ24" s="40">
        <v>104355000</v>
      </c>
      <c r="CR24" s="87">
        <v>0.05</v>
      </c>
      <c r="CS24" s="40">
        <f t="shared" si="30"/>
        <v>11696437.5</v>
      </c>
      <c r="CT24" s="40"/>
      <c r="CU24" s="40">
        <f t="shared" si="5"/>
        <v>116051437.5</v>
      </c>
      <c r="CV24" s="151"/>
      <c r="CW24" s="85">
        <v>46736</v>
      </c>
      <c r="CY24" s="40"/>
      <c r="CZ24" s="87"/>
      <c r="DB24" s="40">
        <v>0</v>
      </c>
      <c r="DC24" s="151"/>
      <c r="DD24" s="85">
        <v>46736</v>
      </c>
      <c r="DE24" s="40"/>
      <c r="DF24" s="87"/>
      <c r="DG24" s="40"/>
      <c r="DH24" s="87"/>
      <c r="DI24" s="40"/>
      <c r="DJ24" s="87"/>
      <c r="DK24" s="40"/>
      <c r="DL24" s="87"/>
      <c r="DM24" s="40">
        <f t="shared" si="6"/>
        <v>0</v>
      </c>
      <c r="DN24" s="40"/>
      <c r="DO24" s="40">
        <f t="shared" si="7"/>
        <v>0</v>
      </c>
      <c r="DP24" s="151"/>
      <c r="DQ24" s="85">
        <v>46736</v>
      </c>
      <c r="DR24" s="40"/>
      <c r="DS24" s="87"/>
      <c r="DT24" s="40">
        <f t="shared" si="8"/>
        <v>0</v>
      </c>
      <c r="DU24" s="40">
        <f t="shared" si="9"/>
        <v>0</v>
      </c>
      <c r="DV24" s="151"/>
      <c r="DW24" s="85">
        <v>46736</v>
      </c>
      <c r="DX24" s="40"/>
      <c r="DY24" s="102"/>
      <c r="DZ24" s="40"/>
      <c r="EA24" s="40"/>
      <c r="EB24" s="40">
        <f t="shared" si="10"/>
        <v>0</v>
      </c>
      <c r="EC24" s="40"/>
      <c r="ED24" s="85">
        <v>46736</v>
      </c>
      <c r="EI24" s="40">
        <f t="shared" si="11"/>
        <v>0</v>
      </c>
      <c r="EJ24" s="85"/>
      <c r="EK24" s="85">
        <v>46736</v>
      </c>
      <c r="EQ24" s="85">
        <v>46736</v>
      </c>
      <c r="ER24" s="40"/>
      <c r="ES24" s="101"/>
      <c r="ET24" s="40">
        <f t="shared" si="33"/>
        <v>0</v>
      </c>
      <c r="EU24" s="40">
        <f t="shared" si="12"/>
        <v>0</v>
      </c>
      <c r="EW24" s="85">
        <v>46736</v>
      </c>
      <c r="EY24" s="101"/>
      <c r="EZ24" s="40">
        <f t="shared" si="34"/>
        <v>0</v>
      </c>
      <c r="FA24" s="40">
        <f t="shared" si="13"/>
        <v>0</v>
      </c>
      <c r="FC24" s="85">
        <v>46736</v>
      </c>
      <c r="FH24" s="40">
        <f t="shared" si="14"/>
        <v>0</v>
      </c>
      <c r="FJ24" s="85">
        <v>46736</v>
      </c>
      <c r="FK24" s="40"/>
      <c r="FL24" s="87"/>
      <c r="FM24" s="40"/>
      <c r="FN24" s="40"/>
      <c r="FO24" s="40">
        <f t="shared" si="15"/>
        <v>0</v>
      </c>
      <c r="FQ24" s="85">
        <v>46736</v>
      </c>
      <c r="FV24" s="40">
        <f t="shared" si="16"/>
        <v>0</v>
      </c>
      <c r="FX24" s="85">
        <v>46736</v>
      </c>
      <c r="GC24" s="40">
        <f t="shared" si="17"/>
        <v>0</v>
      </c>
    </row>
    <row r="25" spans="2:185" x14ac:dyDescent="0.25">
      <c r="B25" s="85">
        <v>46934</v>
      </c>
      <c r="C25" s="85"/>
      <c r="D25" s="85">
        <v>46919</v>
      </c>
      <c r="E25" s="40">
        <f t="shared" si="18"/>
        <v>0</v>
      </c>
      <c r="F25" s="40">
        <f t="shared" si="19"/>
        <v>11935062.5</v>
      </c>
      <c r="G25" s="40">
        <f t="shared" si="20"/>
        <v>0</v>
      </c>
      <c r="H25" s="40">
        <v>0</v>
      </c>
      <c r="I25" s="40">
        <f t="shared" si="21"/>
        <v>11935062.5</v>
      </c>
      <c r="J25" s="40">
        <f>SUM(I24:I25)</f>
        <v>169169000</v>
      </c>
      <c r="L25" s="85">
        <v>46919</v>
      </c>
      <c r="M25" s="40"/>
      <c r="N25" s="101"/>
      <c r="O25" s="40">
        <f t="shared" si="35"/>
        <v>420625</v>
      </c>
      <c r="P25" s="40">
        <v>0</v>
      </c>
      <c r="Q25" s="40"/>
      <c r="R25" s="40">
        <f t="shared" si="22"/>
        <v>420625</v>
      </c>
      <c r="T25" s="85">
        <v>46919</v>
      </c>
      <c r="U25" s="40"/>
      <c r="V25" s="101"/>
      <c r="W25" s="40">
        <f t="shared" si="23"/>
        <v>0</v>
      </c>
      <c r="X25" s="40"/>
      <c r="Y25" s="40"/>
      <c r="Z25" s="40">
        <f t="shared" si="24"/>
        <v>0</v>
      </c>
      <c r="AB25" s="85">
        <v>46919</v>
      </c>
      <c r="AC25" s="40"/>
      <c r="AD25" s="101"/>
      <c r="AE25" s="40">
        <f t="shared" si="25"/>
        <v>0</v>
      </c>
      <c r="AF25" s="40"/>
      <c r="AG25" s="40"/>
      <c r="AH25" s="40">
        <f t="shared" si="26"/>
        <v>0</v>
      </c>
      <c r="AJ25" s="85">
        <v>46919</v>
      </c>
      <c r="AK25" s="40"/>
      <c r="AL25" s="101"/>
      <c r="AM25" s="40">
        <f t="shared" si="27"/>
        <v>0</v>
      </c>
      <c r="AN25" s="40"/>
      <c r="AO25" s="40"/>
      <c r="AP25" s="40">
        <f t="shared" si="28"/>
        <v>0</v>
      </c>
      <c r="AR25" s="85">
        <v>46919</v>
      </c>
      <c r="AS25" s="40"/>
      <c r="AT25" s="101"/>
      <c r="AU25" s="40"/>
      <c r="AV25" s="101"/>
      <c r="AW25" s="40">
        <f t="shared" si="1"/>
        <v>0</v>
      </c>
      <c r="AX25" s="40"/>
      <c r="AY25" s="40"/>
      <c r="AZ25" s="40">
        <f t="shared" si="2"/>
        <v>0</v>
      </c>
      <c r="BB25" s="85">
        <v>46919</v>
      </c>
      <c r="BC25" s="40"/>
      <c r="BD25" s="101"/>
      <c r="BE25" s="40">
        <f t="shared" si="3"/>
        <v>0</v>
      </c>
      <c r="BF25" s="40"/>
      <c r="BG25" s="40">
        <f t="shared" si="4"/>
        <v>0</v>
      </c>
      <c r="BI25" s="85">
        <v>46919</v>
      </c>
      <c r="BJ25" s="40"/>
      <c r="BK25" s="40"/>
      <c r="BL25" s="40"/>
      <c r="BM25" s="40"/>
      <c r="BN25" s="40">
        <v>0</v>
      </c>
      <c r="BP25" s="85">
        <v>46919</v>
      </c>
      <c r="BQ25" s="40"/>
      <c r="BR25" s="40"/>
      <c r="BS25" s="40"/>
      <c r="BT25" s="40"/>
      <c r="BU25" s="40">
        <v>0</v>
      </c>
      <c r="BW25" s="85">
        <v>46919</v>
      </c>
      <c r="BX25" s="40"/>
      <c r="BY25" s="40"/>
      <c r="BZ25" s="40"/>
      <c r="CA25" s="40"/>
      <c r="CB25" s="40">
        <v>0</v>
      </c>
      <c r="CD25" s="85">
        <v>46919</v>
      </c>
      <c r="CE25" s="40"/>
      <c r="CF25" s="40"/>
      <c r="CG25" s="40"/>
      <c r="CH25" s="40">
        <v>0</v>
      </c>
      <c r="CJ25" s="85">
        <v>46919</v>
      </c>
      <c r="CK25" s="40"/>
      <c r="CL25" s="87">
        <v>0</v>
      </c>
      <c r="CM25" s="40">
        <f t="shared" si="29"/>
        <v>2426875</v>
      </c>
      <c r="CN25" s="40">
        <f t="shared" si="32"/>
        <v>2426875</v>
      </c>
      <c r="CP25" s="85">
        <v>46919</v>
      </c>
      <c r="CQ25" s="40"/>
      <c r="CR25" s="87"/>
      <c r="CS25" s="40">
        <f t="shared" si="30"/>
        <v>9087562.5</v>
      </c>
      <c r="CT25" s="40"/>
      <c r="CU25" s="40">
        <f t="shared" si="5"/>
        <v>9087562.5</v>
      </c>
      <c r="CV25" s="151"/>
      <c r="CW25" s="85">
        <v>46919</v>
      </c>
      <c r="CY25" s="40"/>
      <c r="CZ25" s="87"/>
      <c r="DB25" s="40">
        <v>0</v>
      </c>
      <c r="DC25" s="151"/>
      <c r="DD25" s="85">
        <v>46919</v>
      </c>
      <c r="DE25" s="40"/>
      <c r="DF25" s="87"/>
      <c r="DG25" s="40"/>
      <c r="DH25" s="87"/>
      <c r="DI25" s="40"/>
      <c r="DJ25" s="87"/>
      <c r="DK25" s="40"/>
      <c r="DL25" s="87"/>
      <c r="DM25" s="40">
        <f t="shared" si="6"/>
        <v>0</v>
      </c>
      <c r="DN25" s="40"/>
      <c r="DO25" s="40">
        <f t="shared" si="7"/>
        <v>0</v>
      </c>
      <c r="DP25" s="151"/>
      <c r="DQ25" s="85">
        <v>46919</v>
      </c>
      <c r="DR25" s="40"/>
      <c r="DS25" s="87"/>
      <c r="DT25" s="40">
        <f t="shared" si="8"/>
        <v>0</v>
      </c>
      <c r="DU25" s="40">
        <f t="shared" si="9"/>
        <v>0</v>
      </c>
      <c r="DV25" s="151"/>
      <c r="DW25" s="85">
        <v>46919</v>
      </c>
      <c r="DX25" s="40"/>
      <c r="DY25" s="102"/>
      <c r="DZ25" s="40"/>
      <c r="EA25" s="40"/>
      <c r="EB25" s="40">
        <f t="shared" si="10"/>
        <v>0</v>
      </c>
      <c r="EC25" s="40"/>
      <c r="ED25" s="85">
        <v>46919</v>
      </c>
      <c r="EI25" s="40">
        <f t="shared" si="11"/>
        <v>0</v>
      </c>
      <c r="EJ25" s="85"/>
      <c r="EK25" s="85">
        <v>46919</v>
      </c>
      <c r="EQ25" s="85">
        <v>46919</v>
      </c>
      <c r="ER25" s="40"/>
      <c r="ES25" s="101"/>
      <c r="ET25" s="40">
        <f t="shared" si="33"/>
        <v>0</v>
      </c>
      <c r="EU25" s="40">
        <f t="shared" si="12"/>
        <v>0</v>
      </c>
      <c r="EW25" s="85">
        <v>46919</v>
      </c>
      <c r="EY25" s="101"/>
      <c r="EZ25" s="40">
        <f t="shared" si="34"/>
        <v>0</v>
      </c>
      <c r="FA25" s="40">
        <f t="shared" si="13"/>
        <v>0</v>
      </c>
      <c r="FC25" s="85">
        <v>46919</v>
      </c>
      <c r="FH25" s="40">
        <f t="shared" si="14"/>
        <v>0</v>
      </c>
      <c r="FJ25" s="85">
        <v>46919</v>
      </c>
      <c r="FK25" s="40"/>
      <c r="FL25" s="87"/>
      <c r="FM25" s="40"/>
      <c r="FN25" s="40"/>
      <c r="FO25" s="40">
        <f t="shared" si="15"/>
        <v>0</v>
      </c>
      <c r="FQ25" s="85">
        <v>46919</v>
      </c>
      <c r="FV25" s="40">
        <f t="shared" si="16"/>
        <v>0</v>
      </c>
      <c r="FX25" s="85">
        <v>46919</v>
      </c>
      <c r="GC25" s="40">
        <f t="shared" si="17"/>
        <v>0</v>
      </c>
    </row>
    <row r="26" spans="2:185" x14ac:dyDescent="0.25">
      <c r="B26" s="85">
        <v>47118</v>
      </c>
      <c r="C26" s="85"/>
      <c r="D26" s="85">
        <v>47102</v>
      </c>
      <c r="E26" s="40">
        <f t="shared" si="18"/>
        <v>126525000</v>
      </c>
      <c r="F26" s="40">
        <f t="shared" si="19"/>
        <v>11935062.5</v>
      </c>
      <c r="G26" s="40">
        <f t="shared" si="20"/>
        <v>0</v>
      </c>
      <c r="H26" s="40">
        <v>0</v>
      </c>
      <c r="I26" s="40">
        <f t="shared" si="21"/>
        <v>138460062.5</v>
      </c>
      <c r="J26" s="40"/>
      <c r="L26" s="85">
        <v>47102</v>
      </c>
      <c r="M26" s="40">
        <v>16825000</v>
      </c>
      <c r="N26" s="156">
        <v>0.05</v>
      </c>
      <c r="O26" s="40">
        <f>((M26*N26)/2)+O27</f>
        <v>420625</v>
      </c>
      <c r="P26" s="40">
        <v>0</v>
      </c>
      <c r="Q26" s="40"/>
      <c r="R26" s="40">
        <f t="shared" si="22"/>
        <v>17245625</v>
      </c>
      <c r="T26" s="85">
        <v>47102</v>
      </c>
      <c r="U26" s="40"/>
      <c r="V26" s="101"/>
      <c r="W26" s="40">
        <f t="shared" si="23"/>
        <v>0</v>
      </c>
      <c r="X26" s="40"/>
      <c r="Y26" s="40"/>
      <c r="Z26" s="40">
        <f t="shared" si="24"/>
        <v>0</v>
      </c>
      <c r="AB26" s="85">
        <v>47102</v>
      </c>
      <c r="AC26" s="40"/>
      <c r="AD26" s="101"/>
      <c r="AE26" s="40">
        <f t="shared" si="25"/>
        <v>0</v>
      </c>
      <c r="AF26" s="40"/>
      <c r="AG26" s="40"/>
      <c r="AH26" s="40">
        <f t="shared" si="26"/>
        <v>0</v>
      </c>
      <c r="AJ26" s="85">
        <v>47102</v>
      </c>
      <c r="AK26" s="40"/>
      <c r="AL26" s="101"/>
      <c r="AM26" s="40">
        <f t="shared" si="27"/>
        <v>0</v>
      </c>
      <c r="AN26" s="40"/>
      <c r="AO26" s="40"/>
      <c r="AP26" s="40">
        <f t="shared" si="28"/>
        <v>0</v>
      </c>
      <c r="AR26" s="85">
        <v>47102</v>
      </c>
      <c r="AS26" s="40"/>
      <c r="AT26" s="101"/>
      <c r="AU26" s="40"/>
      <c r="AV26" s="101"/>
      <c r="AW26" s="40">
        <f t="shared" si="1"/>
        <v>0</v>
      </c>
      <c r="AX26" s="40"/>
      <c r="AY26" s="40"/>
      <c r="AZ26" s="40">
        <f t="shared" si="2"/>
        <v>0</v>
      </c>
      <c r="BB26" s="85">
        <v>47102</v>
      </c>
      <c r="BC26" s="40"/>
      <c r="BD26" s="101"/>
      <c r="BE26" s="40">
        <f t="shared" si="3"/>
        <v>0</v>
      </c>
      <c r="BF26" s="40"/>
      <c r="BG26" s="40">
        <f t="shared" si="4"/>
        <v>0</v>
      </c>
      <c r="BI26" s="85">
        <v>47102</v>
      </c>
      <c r="BJ26" s="40"/>
      <c r="BK26" s="40"/>
      <c r="BL26" s="40"/>
      <c r="BM26" s="40"/>
      <c r="BN26" s="40">
        <v>0</v>
      </c>
      <c r="BP26" s="85">
        <v>47102</v>
      </c>
      <c r="BQ26" s="40"/>
      <c r="BR26" s="40"/>
      <c r="BS26" s="40"/>
      <c r="BT26" s="40"/>
      <c r="BU26" s="40">
        <v>0</v>
      </c>
      <c r="BW26" s="85">
        <v>47102</v>
      </c>
      <c r="BX26" s="40"/>
      <c r="BY26" s="40"/>
      <c r="BZ26" s="40"/>
      <c r="CA26" s="40"/>
      <c r="CB26" s="40">
        <v>0</v>
      </c>
      <c r="CD26" s="85">
        <v>47102</v>
      </c>
      <c r="CE26" s="40"/>
      <c r="CF26" s="40"/>
      <c r="CG26" s="40"/>
      <c r="CH26" s="40">
        <v>0</v>
      </c>
      <c r="CJ26" s="85">
        <v>47102</v>
      </c>
      <c r="CK26" s="40"/>
      <c r="CL26" s="87">
        <v>0</v>
      </c>
      <c r="CM26" s="40">
        <f t="shared" si="29"/>
        <v>2426875</v>
      </c>
      <c r="CN26" s="40">
        <f t="shared" si="32"/>
        <v>2426875</v>
      </c>
      <c r="CP26" s="85">
        <v>47102</v>
      </c>
      <c r="CQ26" s="40">
        <v>109700000</v>
      </c>
      <c r="CR26" s="87">
        <v>0.05</v>
      </c>
      <c r="CS26" s="40">
        <f t="shared" si="30"/>
        <v>9087562.5</v>
      </c>
      <c r="CT26" s="40"/>
      <c r="CU26" s="40">
        <f t="shared" si="5"/>
        <v>118787562.5</v>
      </c>
      <c r="CV26" s="151"/>
      <c r="CW26" s="85">
        <v>47102</v>
      </c>
      <c r="CY26" s="40"/>
      <c r="CZ26" s="87"/>
      <c r="DB26" s="40">
        <v>0</v>
      </c>
      <c r="DC26" s="151"/>
      <c r="DD26" s="85">
        <v>47102</v>
      </c>
      <c r="DE26" s="40"/>
      <c r="DF26" s="87"/>
      <c r="DG26" s="40"/>
      <c r="DH26" s="87"/>
      <c r="DI26" s="40"/>
      <c r="DJ26" s="87"/>
      <c r="DK26" s="40"/>
      <c r="DL26" s="87"/>
      <c r="DM26" s="40">
        <f t="shared" si="6"/>
        <v>0</v>
      </c>
      <c r="DN26" s="40"/>
      <c r="DO26" s="40">
        <f t="shared" si="7"/>
        <v>0</v>
      </c>
      <c r="DP26" s="151"/>
      <c r="DQ26" s="85">
        <v>47102</v>
      </c>
      <c r="DR26" s="40"/>
      <c r="DS26" s="87"/>
      <c r="DT26" s="40">
        <f t="shared" si="8"/>
        <v>0</v>
      </c>
      <c r="DU26" s="40">
        <f t="shared" si="9"/>
        <v>0</v>
      </c>
      <c r="DV26" s="151"/>
      <c r="DW26" s="85">
        <v>47102</v>
      </c>
      <c r="DX26" s="40"/>
      <c r="DY26" s="102"/>
      <c r="DZ26" s="40"/>
      <c r="EA26" s="40"/>
      <c r="EB26" s="40">
        <f t="shared" si="10"/>
        <v>0</v>
      </c>
      <c r="EC26" s="40"/>
      <c r="ED26" s="85">
        <v>47102</v>
      </c>
      <c r="EI26" s="40">
        <f t="shared" si="11"/>
        <v>0</v>
      </c>
      <c r="EJ26" s="85"/>
      <c r="EK26" s="85">
        <v>47102</v>
      </c>
      <c r="EQ26" s="85">
        <v>47102</v>
      </c>
      <c r="ER26" s="40"/>
      <c r="ES26" s="101"/>
      <c r="ET26" s="40">
        <f t="shared" si="33"/>
        <v>0</v>
      </c>
      <c r="EU26" s="40">
        <f t="shared" si="12"/>
        <v>0</v>
      </c>
      <c r="EW26" s="85">
        <v>47102</v>
      </c>
      <c r="EY26" s="101"/>
      <c r="EZ26" s="40">
        <f t="shared" si="34"/>
        <v>0</v>
      </c>
      <c r="FA26" s="40">
        <f t="shared" si="13"/>
        <v>0</v>
      </c>
      <c r="FC26" s="85">
        <v>47102</v>
      </c>
      <c r="FH26" s="40">
        <f t="shared" si="14"/>
        <v>0</v>
      </c>
      <c r="FJ26" s="85">
        <v>47102</v>
      </c>
      <c r="FK26" s="40"/>
      <c r="FL26" s="87"/>
      <c r="FM26" s="40"/>
      <c r="FN26" s="40"/>
      <c r="FO26" s="40">
        <f t="shared" si="15"/>
        <v>0</v>
      </c>
      <c r="FQ26" s="85">
        <v>47102</v>
      </c>
      <c r="FV26" s="40">
        <f t="shared" si="16"/>
        <v>0</v>
      </c>
      <c r="FX26" s="85">
        <v>47102</v>
      </c>
      <c r="GC26" s="40">
        <f t="shared" si="17"/>
        <v>0</v>
      </c>
    </row>
    <row r="27" spans="2:185" x14ac:dyDescent="0.25">
      <c r="B27" s="85">
        <v>47299</v>
      </c>
      <c r="C27" s="85"/>
      <c r="D27" s="85">
        <v>47284</v>
      </c>
      <c r="E27" s="40">
        <f t="shared" si="18"/>
        <v>0</v>
      </c>
      <c r="F27" s="40">
        <f t="shared" si="19"/>
        <v>8771937.5</v>
      </c>
      <c r="G27" s="40">
        <f t="shared" si="20"/>
        <v>0</v>
      </c>
      <c r="H27" s="40">
        <v>0</v>
      </c>
      <c r="I27" s="40">
        <f t="shared" si="21"/>
        <v>8771937.5</v>
      </c>
      <c r="J27" s="40">
        <f>SUM(I26:I27)</f>
        <v>147232000</v>
      </c>
      <c r="L27" s="85">
        <v>47284</v>
      </c>
      <c r="M27" s="40"/>
      <c r="N27" s="101"/>
      <c r="O27" s="40">
        <f t="shared" ref="O27:O76" si="37">(M27*N27/2)+O28</f>
        <v>0</v>
      </c>
      <c r="P27" s="40"/>
      <c r="Q27" s="40"/>
      <c r="R27" s="40">
        <f t="shared" si="22"/>
        <v>0</v>
      </c>
      <c r="T27" s="85">
        <v>47284</v>
      </c>
      <c r="U27" s="40"/>
      <c r="V27" s="101"/>
      <c r="W27" s="40">
        <f t="shared" si="23"/>
        <v>0</v>
      </c>
      <c r="X27" s="40"/>
      <c r="Y27" s="40"/>
      <c r="Z27" s="40">
        <f t="shared" si="24"/>
        <v>0</v>
      </c>
      <c r="AB27" s="85">
        <v>47284</v>
      </c>
      <c r="AC27" s="40"/>
      <c r="AD27" s="101"/>
      <c r="AE27" s="40">
        <f t="shared" si="25"/>
        <v>0</v>
      </c>
      <c r="AF27" s="40"/>
      <c r="AG27" s="40"/>
      <c r="AH27" s="40">
        <f t="shared" si="26"/>
        <v>0</v>
      </c>
      <c r="AJ27" s="85">
        <v>47284</v>
      </c>
      <c r="AK27" s="40"/>
      <c r="AL27" s="101"/>
      <c r="AM27" s="40">
        <f t="shared" si="27"/>
        <v>0</v>
      </c>
      <c r="AN27" s="40"/>
      <c r="AO27" s="40"/>
      <c r="AP27" s="40">
        <f t="shared" si="28"/>
        <v>0</v>
      </c>
      <c r="AR27" s="85">
        <v>47284</v>
      </c>
      <c r="AS27" s="40"/>
      <c r="AT27" s="101"/>
      <c r="AU27" s="40"/>
      <c r="AV27" s="101"/>
      <c r="AW27" s="40">
        <f t="shared" si="1"/>
        <v>0</v>
      </c>
      <c r="AX27" s="40"/>
      <c r="AY27" s="40"/>
      <c r="AZ27" s="40">
        <f t="shared" si="2"/>
        <v>0</v>
      </c>
      <c r="BB27" s="85">
        <v>47284</v>
      </c>
      <c r="BC27" s="40"/>
      <c r="BD27" s="101"/>
      <c r="BE27" s="40">
        <f t="shared" si="3"/>
        <v>0</v>
      </c>
      <c r="BF27" s="40"/>
      <c r="BG27" s="40">
        <f t="shared" si="4"/>
        <v>0</v>
      </c>
      <c r="BI27" s="85">
        <v>47284</v>
      </c>
      <c r="BJ27" s="40"/>
      <c r="BK27" s="40"/>
      <c r="BL27" s="40"/>
      <c r="BM27" s="40"/>
      <c r="BN27" s="40">
        <v>0</v>
      </c>
      <c r="BP27" s="85">
        <v>47284</v>
      </c>
      <c r="BQ27" s="40"/>
      <c r="BR27" s="40"/>
      <c r="BS27" s="40"/>
      <c r="BT27" s="40"/>
      <c r="BU27" s="40">
        <v>0</v>
      </c>
      <c r="BW27" s="85">
        <v>47284</v>
      </c>
      <c r="BX27" s="40"/>
      <c r="BY27" s="40"/>
      <c r="BZ27" s="40"/>
      <c r="CA27" s="40"/>
      <c r="CB27" s="40">
        <v>0</v>
      </c>
      <c r="CD27" s="85">
        <v>47284</v>
      </c>
      <c r="CE27" s="40"/>
      <c r="CF27" s="40"/>
      <c r="CG27" s="40"/>
      <c r="CH27" s="40">
        <v>0</v>
      </c>
      <c r="CJ27" s="85">
        <v>47284</v>
      </c>
      <c r="CK27" s="40"/>
      <c r="CL27" s="87">
        <v>0</v>
      </c>
      <c r="CM27" s="40">
        <f t="shared" si="29"/>
        <v>2426875</v>
      </c>
      <c r="CN27" s="40">
        <f t="shared" si="32"/>
        <v>2426875</v>
      </c>
      <c r="CP27" s="85">
        <v>47284</v>
      </c>
      <c r="CQ27" s="40"/>
      <c r="CR27" s="87"/>
      <c r="CS27" s="40">
        <f t="shared" si="30"/>
        <v>6345062.5</v>
      </c>
      <c r="CT27" s="40"/>
      <c r="CU27" s="40">
        <f t="shared" si="5"/>
        <v>6345062.5</v>
      </c>
      <c r="CV27" s="151"/>
      <c r="CW27" s="85">
        <v>47284</v>
      </c>
      <c r="CY27" s="40"/>
      <c r="CZ27" s="87"/>
      <c r="DB27" s="40">
        <v>0</v>
      </c>
      <c r="DC27" s="151"/>
      <c r="DD27" s="85">
        <v>47284</v>
      </c>
      <c r="DE27" s="40"/>
      <c r="DF27" s="87"/>
      <c r="DG27" s="40"/>
      <c r="DH27" s="87"/>
      <c r="DI27" s="40"/>
      <c r="DJ27" s="87"/>
      <c r="DK27" s="40"/>
      <c r="DL27" s="87"/>
      <c r="DM27" s="40">
        <f t="shared" si="6"/>
        <v>0</v>
      </c>
      <c r="DN27" s="40"/>
      <c r="DO27" s="40">
        <f t="shared" si="7"/>
        <v>0</v>
      </c>
      <c r="DP27" s="151"/>
      <c r="DQ27" s="85">
        <v>47284</v>
      </c>
      <c r="DR27" s="40"/>
      <c r="DS27" s="87"/>
      <c r="DT27" s="40">
        <f t="shared" si="8"/>
        <v>0</v>
      </c>
      <c r="DU27" s="40">
        <f t="shared" si="9"/>
        <v>0</v>
      </c>
      <c r="DV27" s="151"/>
      <c r="DW27" s="85">
        <v>47284</v>
      </c>
      <c r="DX27" s="40"/>
      <c r="DY27" s="102"/>
      <c r="DZ27" s="40"/>
      <c r="EA27" s="40"/>
      <c r="EB27" s="40">
        <f t="shared" si="10"/>
        <v>0</v>
      </c>
      <c r="EC27" s="40"/>
      <c r="ED27" s="85">
        <v>47284</v>
      </c>
      <c r="EI27" s="40">
        <f t="shared" si="11"/>
        <v>0</v>
      </c>
      <c r="EJ27" s="85"/>
      <c r="EK27" s="85">
        <v>47284</v>
      </c>
      <c r="EQ27" s="85">
        <v>47284</v>
      </c>
      <c r="ER27" s="40"/>
      <c r="ES27" s="101"/>
      <c r="ET27" s="40">
        <f t="shared" si="33"/>
        <v>0</v>
      </c>
      <c r="EU27" s="40">
        <f t="shared" si="12"/>
        <v>0</v>
      </c>
      <c r="EW27" s="85">
        <v>47284</v>
      </c>
      <c r="EY27" s="101"/>
      <c r="EZ27" s="40">
        <f t="shared" si="34"/>
        <v>0</v>
      </c>
      <c r="FA27" s="40">
        <f t="shared" si="13"/>
        <v>0</v>
      </c>
      <c r="FC27" s="85">
        <v>47284</v>
      </c>
      <c r="FH27" s="40">
        <f t="shared" si="14"/>
        <v>0</v>
      </c>
      <c r="FJ27" s="85">
        <v>47284</v>
      </c>
      <c r="FK27" s="40"/>
      <c r="FL27" s="87"/>
      <c r="FM27" s="40"/>
      <c r="FN27" s="40"/>
      <c r="FO27" s="40">
        <f t="shared" si="15"/>
        <v>0</v>
      </c>
      <c r="FQ27" s="85">
        <v>47284</v>
      </c>
      <c r="FV27" s="40">
        <f t="shared" si="16"/>
        <v>0</v>
      </c>
      <c r="FX27" s="85">
        <v>47284</v>
      </c>
      <c r="GC27" s="40">
        <f t="shared" si="17"/>
        <v>0</v>
      </c>
    </row>
    <row r="28" spans="2:185" x14ac:dyDescent="0.25">
      <c r="B28" s="85">
        <v>47483</v>
      </c>
      <c r="C28" s="85"/>
      <c r="D28" s="85">
        <v>47467</v>
      </c>
      <c r="E28" s="40">
        <f t="shared" si="18"/>
        <v>0</v>
      </c>
      <c r="F28" s="40">
        <f t="shared" si="19"/>
        <v>8771937.5</v>
      </c>
      <c r="G28" s="40">
        <f t="shared" si="20"/>
        <v>0</v>
      </c>
      <c r="H28" s="40">
        <v>0</v>
      </c>
      <c r="I28" s="40">
        <f t="shared" si="21"/>
        <v>8771937.5</v>
      </c>
      <c r="J28" s="40"/>
      <c r="L28" s="85">
        <v>47467</v>
      </c>
      <c r="M28" s="40"/>
      <c r="N28" s="101"/>
      <c r="O28" s="40">
        <f t="shared" si="37"/>
        <v>0</v>
      </c>
      <c r="P28" s="40"/>
      <c r="Q28" s="40"/>
      <c r="R28" s="40">
        <f t="shared" si="22"/>
        <v>0</v>
      </c>
      <c r="T28" s="85">
        <v>47467</v>
      </c>
      <c r="U28" s="40"/>
      <c r="V28" s="101"/>
      <c r="W28" s="40">
        <f t="shared" si="23"/>
        <v>0</v>
      </c>
      <c r="X28" s="40"/>
      <c r="Y28" s="40"/>
      <c r="Z28" s="40">
        <f t="shared" si="24"/>
        <v>0</v>
      </c>
      <c r="AB28" s="85">
        <v>47467</v>
      </c>
      <c r="AC28" s="40"/>
      <c r="AD28" s="101"/>
      <c r="AE28" s="40">
        <f t="shared" si="25"/>
        <v>0</v>
      </c>
      <c r="AF28" s="40"/>
      <c r="AG28" s="40"/>
      <c r="AH28" s="40">
        <f t="shared" si="26"/>
        <v>0</v>
      </c>
      <c r="AJ28" s="85">
        <v>47467</v>
      </c>
      <c r="AK28" s="40"/>
      <c r="AL28" s="101"/>
      <c r="AM28" s="40">
        <f t="shared" si="27"/>
        <v>0</v>
      </c>
      <c r="AN28" s="40"/>
      <c r="AO28" s="40"/>
      <c r="AP28" s="40">
        <f t="shared" si="28"/>
        <v>0</v>
      </c>
      <c r="AR28" s="85">
        <v>47467</v>
      </c>
      <c r="AS28" s="40"/>
      <c r="AT28" s="101"/>
      <c r="AU28" s="40"/>
      <c r="AV28" s="101"/>
      <c r="AW28" s="40">
        <f t="shared" si="1"/>
        <v>0</v>
      </c>
      <c r="AX28" s="40"/>
      <c r="AY28" s="40"/>
      <c r="AZ28" s="40">
        <f t="shared" si="2"/>
        <v>0</v>
      </c>
      <c r="BB28" s="85">
        <v>47467</v>
      </c>
      <c r="BC28" s="40"/>
      <c r="BD28" s="101"/>
      <c r="BE28" s="40">
        <f t="shared" si="3"/>
        <v>0</v>
      </c>
      <c r="BF28" s="40"/>
      <c r="BG28" s="40">
        <f t="shared" si="4"/>
        <v>0</v>
      </c>
      <c r="BI28" s="85">
        <v>47467</v>
      </c>
      <c r="BJ28" s="40"/>
      <c r="BK28" s="40"/>
      <c r="BL28" s="40"/>
      <c r="BM28" s="40"/>
      <c r="BN28" s="40">
        <v>0</v>
      </c>
      <c r="BP28" s="85">
        <v>47467</v>
      </c>
      <c r="BQ28" s="40"/>
      <c r="BR28" s="40"/>
      <c r="BS28" s="40"/>
      <c r="BT28" s="40"/>
      <c r="BU28" s="40">
        <v>0</v>
      </c>
      <c r="BW28" s="85">
        <v>47467</v>
      </c>
      <c r="BX28" s="40"/>
      <c r="BY28" s="40"/>
      <c r="BZ28" s="40"/>
      <c r="CA28" s="40"/>
      <c r="CB28" s="40">
        <v>0</v>
      </c>
      <c r="CD28" s="85">
        <v>47467</v>
      </c>
      <c r="CE28" s="40"/>
      <c r="CF28" s="40"/>
      <c r="CG28" s="40"/>
      <c r="CH28" s="40">
        <v>0</v>
      </c>
      <c r="CJ28" s="85">
        <v>47467</v>
      </c>
      <c r="CK28" s="40"/>
      <c r="CL28" s="87">
        <v>0</v>
      </c>
      <c r="CM28" s="40">
        <f t="shared" si="29"/>
        <v>2426875</v>
      </c>
      <c r="CN28" s="40">
        <f t="shared" si="32"/>
        <v>2426875</v>
      </c>
      <c r="CP28" s="85">
        <v>47467</v>
      </c>
      <c r="CQ28" s="40"/>
      <c r="CR28" s="87"/>
      <c r="CS28" s="40">
        <f t="shared" si="30"/>
        <v>6345062.5</v>
      </c>
      <c r="CT28" s="40"/>
      <c r="CU28" s="40">
        <f t="shared" si="5"/>
        <v>6345062.5</v>
      </c>
      <c r="CV28" s="151"/>
      <c r="CW28" s="85">
        <v>47467</v>
      </c>
      <c r="CY28" s="40"/>
      <c r="CZ28" s="87"/>
      <c r="DB28" s="40">
        <v>0</v>
      </c>
      <c r="DC28" s="151"/>
      <c r="DD28" s="85">
        <v>47467</v>
      </c>
      <c r="DE28" s="40"/>
      <c r="DF28" s="87"/>
      <c r="DG28" s="40"/>
      <c r="DH28" s="87"/>
      <c r="DI28" s="40"/>
      <c r="DJ28" s="87"/>
      <c r="DK28" s="40"/>
      <c r="DL28" s="87"/>
      <c r="DM28" s="40">
        <f t="shared" si="6"/>
        <v>0</v>
      </c>
      <c r="DN28" s="40"/>
      <c r="DO28" s="40">
        <f t="shared" si="7"/>
        <v>0</v>
      </c>
      <c r="DP28" s="151"/>
      <c r="DQ28" s="85">
        <v>47467</v>
      </c>
      <c r="DR28" s="40"/>
      <c r="DS28" s="87"/>
      <c r="DT28" s="40">
        <f t="shared" si="8"/>
        <v>0</v>
      </c>
      <c r="DU28" s="40">
        <f t="shared" si="9"/>
        <v>0</v>
      </c>
      <c r="DV28" s="151"/>
      <c r="DW28" s="85">
        <v>47467</v>
      </c>
      <c r="DX28" s="40"/>
      <c r="DY28" s="102"/>
      <c r="DZ28" s="40"/>
      <c r="EA28" s="40"/>
      <c r="EB28" s="40">
        <f t="shared" si="10"/>
        <v>0</v>
      </c>
      <c r="EC28" s="40"/>
      <c r="ED28" s="85">
        <v>47467</v>
      </c>
      <c r="EI28" s="40">
        <f t="shared" si="11"/>
        <v>0</v>
      </c>
      <c r="EJ28" s="85"/>
      <c r="EK28" s="85">
        <v>47467</v>
      </c>
      <c r="EQ28" s="85">
        <v>47467</v>
      </c>
      <c r="ES28" s="101"/>
      <c r="ET28" s="40">
        <f t="shared" si="33"/>
        <v>0</v>
      </c>
      <c r="EU28" s="40">
        <f t="shared" si="12"/>
        <v>0</v>
      </c>
      <c r="EW28" s="85">
        <v>47467</v>
      </c>
      <c r="EY28" s="101"/>
      <c r="EZ28" s="40">
        <f t="shared" si="34"/>
        <v>0</v>
      </c>
      <c r="FA28" s="40">
        <f t="shared" si="13"/>
        <v>0</v>
      </c>
      <c r="FC28" s="85">
        <v>47467</v>
      </c>
      <c r="FH28" s="40">
        <f t="shared" si="14"/>
        <v>0</v>
      </c>
      <c r="FJ28" s="85">
        <v>47467</v>
      </c>
      <c r="FO28" s="40">
        <f t="shared" si="15"/>
        <v>0</v>
      </c>
      <c r="FQ28" s="85">
        <v>47467</v>
      </c>
      <c r="FV28" s="40">
        <f t="shared" si="16"/>
        <v>0</v>
      </c>
      <c r="FX28" s="85">
        <v>47467</v>
      </c>
      <c r="GC28" s="40">
        <f t="shared" si="17"/>
        <v>0</v>
      </c>
    </row>
    <row r="29" spans="2:185" x14ac:dyDescent="0.25">
      <c r="B29" s="85">
        <v>47664</v>
      </c>
      <c r="C29" s="85"/>
      <c r="D29" s="85">
        <v>47649</v>
      </c>
      <c r="E29" s="40">
        <f t="shared" si="18"/>
        <v>0</v>
      </c>
      <c r="F29" s="40">
        <f t="shared" si="19"/>
        <v>8771937.5</v>
      </c>
      <c r="G29" s="40">
        <f t="shared" si="20"/>
        <v>0</v>
      </c>
      <c r="H29" s="40">
        <v>0</v>
      </c>
      <c r="I29" s="40">
        <f t="shared" si="21"/>
        <v>8771937.5</v>
      </c>
      <c r="J29" s="40">
        <f>SUM(I28:I29)</f>
        <v>17543875</v>
      </c>
      <c r="L29" s="85">
        <v>47649</v>
      </c>
      <c r="M29" s="40"/>
      <c r="N29" s="101"/>
      <c r="O29" s="40">
        <f t="shared" si="37"/>
        <v>0</v>
      </c>
      <c r="P29" s="40"/>
      <c r="Q29" s="40"/>
      <c r="R29" s="40">
        <f t="shared" si="22"/>
        <v>0</v>
      </c>
      <c r="T29" s="85">
        <v>47649</v>
      </c>
      <c r="U29" s="40"/>
      <c r="V29" s="101"/>
      <c r="W29" s="40">
        <f t="shared" si="23"/>
        <v>0</v>
      </c>
      <c r="X29" s="40"/>
      <c r="Y29" s="40"/>
      <c r="Z29" s="40">
        <f t="shared" si="24"/>
        <v>0</v>
      </c>
      <c r="AB29" s="85">
        <v>47649</v>
      </c>
      <c r="AC29" s="40"/>
      <c r="AD29" s="101"/>
      <c r="AE29" s="40">
        <f t="shared" si="25"/>
        <v>0</v>
      </c>
      <c r="AF29" s="40"/>
      <c r="AG29" s="40"/>
      <c r="AH29" s="40">
        <f t="shared" si="26"/>
        <v>0</v>
      </c>
      <c r="AJ29" s="85">
        <v>47649</v>
      </c>
      <c r="AK29" s="40"/>
      <c r="AL29" s="101"/>
      <c r="AM29" s="40">
        <f t="shared" si="27"/>
        <v>0</v>
      </c>
      <c r="AN29" s="40"/>
      <c r="AO29" s="40"/>
      <c r="AP29" s="40">
        <f t="shared" si="28"/>
        <v>0</v>
      </c>
      <c r="AR29" s="85">
        <v>47649</v>
      </c>
      <c r="AS29" s="40"/>
      <c r="AT29" s="101"/>
      <c r="AU29" s="40"/>
      <c r="AV29" s="101"/>
      <c r="AW29" s="40">
        <f t="shared" si="1"/>
        <v>0</v>
      </c>
      <c r="AX29" s="40"/>
      <c r="AY29" s="40"/>
      <c r="AZ29" s="40">
        <f t="shared" si="2"/>
        <v>0</v>
      </c>
      <c r="BB29" s="85">
        <v>47649</v>
      </c>
      <c r="BC29" s="40"/>
      <c r="BD29" s="101"/>
      <c r="BE29" s="40">
        <f t="shared" si="3"/>
        <v>0</v>
      </c>
      <c r="BF29" s="40"/>
      <c r="BG29" s="40">
        <f t="shared" si="4"/>
        <v>0</v>
      </c>
      <c r="BI29" s="85">
        <v>47649</v>
      </c>
      <c r="BJ29" s="40"/>
      <c r="BK29" s="40"/>
      <c r="BL29" s="40"/>
      <c r="BM29" s="40"/>
      <c r="BN29" s="40">
        <v>0</v>
      </c>
      <c r="BP29" s="85">
        <v>47649</v>
      </c>
      <c r="BQ29" s="40"/>
      <c r="BR29" s="40"/>
      <c r="BS29" s="40"/>
      <c r="BT29" s="40"/>
      <c r="BU29" s="40">
        <v>0</v>
      </c>
      <c r="BW29" s="85">
        <v>47649</v>
      </c>
      <c r="BX29" s="40"/>
      <c r="BY29" s="40"/>
      <c r="BZ29" s="40"/>
      <c r="CA29" s="40"/>
      <c r="CB29" s="40">
        <v>0</v>
      </c>
      <c r="CD29" s="85">
        <v>47649</v>
      </c>
      <c r="CE29" s="40"/>
      <c r="CF29" s="40"/>
      <c r="CG29" s="40"/>
      <c r="CH29" s="40">
        <v>0</v>
      </c>
      <c r="CJ29" s="85">
        <v>47649</v>
      </c>
      <c r="CK29" s="40"/>
      <c r="CL29" s="87">
        <v>0</v>
      </c>
      <c r="CM29" s="40">
        <f t="shared" si="29"/>
        <v>2426875</v>
      </c>
      <c r="CN29" s="40">
        <f t="shared" si="32"/>
        <v>2426875</v>
      </c>
      <c r="CP29" s="85">
        <v>47649</v>
      </c>
      <c r="CQ29" s="40"/>
      <c r="CR29" s="87"/>
      <c r="CS29" s="40">
        <f t="shared" si="30"/>
        <v>6345062.5</v>
      </c>
      <c r="CT29" s="40"/>
      <c r="CU29" s="40">
        <f t="shared" si="5"/>
        <v>6345062.5</v>
      </c>
      <c r="CV29" s="151"/>
      <c r="CW29" s="85">
        <v>47649</v>
      </c>
      <c r="CY29" s="40"/>
      <c r="CZ29" s="87"/>
      <c r="DB29" s="40">
        <v>0</v>
      </c>
      <c r="DC29" s="151"/>
      <c r="DD29" s="85">
        <v>47649</v>
      </c>
      <c r="DE29" s="40"/>
      <c r="DF29" s="87"/>
      <c r="DG29" s="40"/>
      <c r="DH29" s="87"/>
      <c r="DI29" s="40"/>
      <c r="DJ29" s="87"/>
      <c r="DK29" s="40"/>
      <c r="DL29" s="87"/>
      <c r="DM29" s="40">
        <f t="shared" si="6"/>
        <v>0</v>
      </c>
      <c r="DN29" s="40"/>
      <c r="DO29" s="40">
        <f t="shared" si="7"/>
        <v>0</v>
      </c>
      <c r="DP29" s="151"/>
      <c r="DQ29" s="85">
        <v>47649</v>
      </c>
      <c r="DR29" s="40"/>
      <c r="DS29" s="87"/>
      <c r="DT29" s="40">
        <f t="shared" si="8"/>
        <v>0</v>
      </c>
      <c r="DU29" s="40">
        <f t="shared" si="9"/>
        <v>0</v>
      </c>
      <c r="DV29" s="151"/>
      <c r="DW29" s="85">
        <v>47649</v>
      </c>
      <c r="DX29" s="40"/>
      <c r="DY29" s="102"/>
      <c r="DZ29" s="40"/>
      <c r="EA29" s="40"/>
      <c r="EB29" s="40">
        <f t="shared" si="10"/>
        <v>0</v>
      </c>
      <c r="EC29" s="40"/>
      <c r="ED29" s="85">
        <v>47649</v>
      </c>
      <c r="EI29" s="40">
        <f t="shared" si="11"/>
        <v>0</v>
      </c>
      <c r="EJ29" s="85"/>
      <c r="EK29" s="85">
        <v>47649</v>
      </c>
      <c r="EQ29" s="85">
        <v>47649</v>
      </c>
      <c r="ES29" s="101"/>
      <c r="ET29" s="40">
        <f t="shared" si="33"/>
        <v>0</v>
      </c>
      <c r="EU29" s="40">
        <f t="shared" si="12"/>
        <v>0</v>
      </c>
      <c r="EW29" s="85">
        <v>47649</v>
      </c>
      <c r="EY29" s="101"/>
      <c r="EZ29" s="40">
        <f t="shared" si="34"/>
        <v>0</v>
      </c>
      <c r="FA29" s="40">
        <f t="shared" si="13"/>
        <v>0</v>
      </c>
      <c r="FC29" s="85">
        <v>47649</v>
      </c>
      <c r="FH29" s="40">
        <f t="shared" si="14"/>
        <v>0</v>
      </c>
      <c r="FJ29" s="85">
        <v>47649</v>
      </c>
      <c r="FO29" s="40">
        <f t="shared" si="15"/>
        <v>0</v>
      </c>
      <c r="FQ29" s="85">
        <v>47649</v>
      </c>
      <c r="FV29" s="40">
        <f t="shared" si="16"/>
        <v>0</v>
      </c>
      <c r="FX29" s="85">
        <v>47649</v>
      </c>
      <c r="GC29" s="40">
        <f t="shared" si="17"/>
        <v>0</v>
      </c>
    </row>
    <row r="30" spans="2:185" x14ac:dyDescent="0.25">
      <c r="B30" s="85">
        <v>47848</v>
      </c>
      <c r="C30" s="85"/>
      <c r="D30" s="85">
        <v>47832</v>
      </c>
      <c r="E30" s="40">
        <f t="shared" si="18"/>
        <v>0</v>
      </c>
      <c r="F30" s="40">
        <f t="shared" si="19"/>
        <v>8771937.5</v>
      </c>
      <c r="G30" s="40">
        <f t="shared" si="20"/>
        <v>0</v>
      </c>
      <c r="H30" s="40">
        <v>0</v>
      </c>
      <c r="I30" s="40">
        <f t="shared" si="21"/>
        <v>8771937.5</v>
      </c>
      <c r="J30" s="40"/>
      <c r="L30" s="85">
        <v>47832</v>
      </c>
      <c r="M30" s="40"/>
      <c r="N30" s="101"/>
      <c r="O30" s="40">
        <f t="shared" si="37"/>
        <v>0</v>
      </c>
      <c r="P30" s="40"/>
      <c r="Q30" s="40"/>
      <c r="R30" s="40">
        <f t="shared" si="22"/>
        <v>0</v>
      </c>
      <c r="T30" s="85">
        <v>47832</v>
      </c>
      <c r="U30" s="40"/>
      <c r="V30" s="101"/>
      <c r="W30" s="40">
        <f t="shared" si="23"/>
        <v>0</v>
      </c>
      <c r="X30" s="40"/>
      <c r="Y30" s="40"/>
      <c r="Z30" s="40">
        <f t="shared" si="24"/>
        <v>0</v>
      </c>
      <c r="AB30" s="85">
        <v>47832</v>
      </c>
      <c r="AC30" s="40"/>
      <c r="AD30" s="101"/>
      <c r="AE30" s="40">
        <f t="shared" si="25"/>
        <v>0</v>
      </c>
      <c r="AF30" s="40"/>
      <c r="AG30" s="40"/>
      <c r="AH30" s="40">
        <f t="shared" si="26"/>
        <v>0</v>
      </c>
      <c r="AJ30" s="85">
        <v>47832</v>
      </c>
      <c r="AK30" s="40"/>
      <c r="AL30" s="101"/>
      <c r="AM30" s="40">
        <f t="shared" si="27"/>
        <v>0</v>
      </c>
      <c r="AN30" s="40"/>
      <c r="AO30" s="40"/>
      <c r="AP30" s="40">
        <f t="shared" si="28"/>
        <v>0</v>
      </c>
      <c r="AR30" s="85">
        <v>47832</v>
      </c>
      <c r="AS30" s="40"/>
      <c r="AT30" s="101"/>
      <c r="AU30" s="40"/>
      <c r="AV30" s="101"/>
      <c r="AW30" s="40">
        <f t="shared" si="1"/>
        <v>0</v>
      </c>
      <c r="AX30" s="40"/>
      <c r="AY30" s="40"/>
      <c r="AZ30" s="40">
        <f t="shared" si="2"/>
        <v>0</v>
      </c>
      <c r="BB30" s="85">
        <v>47832</v>
      </c>
      <c r="BC30" s="40"/>
      <c r="BD30" s="101"/>
      <c r="BE30" s="40">
        <f t="shared" si="3"/>
        <v>0</v>
      </c>
      <c r="BF30" s="40"/>
      <c r="BG30" s="40">
        <f t="shared" si="4"/>
        <v>0</v>
      </c>
      <c r="BI30" s="85">
        <v>47832</v>
      </c>
      <c r="BJ30" s="40"/>
      <c r="BK30" s="40"/>
      <c r="BL30" s="40"/>
      <c r="BM30" s="40"/>
      <c r="BN30" s="40">
        <v>0</v>
      </c>
      <c r="BP30" s="85">
        <v>47832</v>
      </c>
      <c r="BQ30" s="40"/>
      <c r="BR30" s="40"/>
      <c r="BS30" s="40"/>
      <c r="BT30" s="40"/>
      <c r="BU30" s="40">
        <v>0</v>
      </c>
      <c r="BW30" s="85">
        <v>47832</v>
      </c>
      <c r="BX30" s="40"/>
      <c r="BY30" s="40"/>
      <c r="BZ30" s="40"/>
      <c r="CA30" s="40"/>
      <c r="CB30" s="40">
        <v>0</v>
      </c>
      <c r="CD30" s="85">
        <v>47832</v>
      </c>
      <c r="CE30" s="40"/>
      <c r="CF30" s="40"/>
      <c r="CG30" s="40"/>
      <c r="CH30" s="40">
        <v>0</v>
      </c>
      <c r="CJ30" s="85">
        <v>47832</v>
      </c>
      <c r="CK30" s="40"/>
      <c r="CL30" s="87">
        <v>0</v>
      </c>
      <c r="CM30" s="40">
        <f t="shared" si="29"/>
        <v>2426875</v>
      </c>
      <c r="CN30" s="40">
        <f t="shared" si="32"/>
        <v>2426875</v>
      </c>
      <c r="CP30" s="85">
        <v>47832</v>
      </c>
      <c r="CQ30" s="40"/>
      <c r="CR30" s="87"/>
      <c r="CS30" s="40">
        <f t="shared" si="30"/>
        <v>6345062.5</v>
      </c>
      <c r="CT30" s="40"/>
      <c r="CU30" s="40">
        <f t="shared" si="5"/>
        <v>6345062.5</v>
      </c>
      <c r="CV30" s="151"/>
      <c r="CW30" s="85">
        <v>47832</v>
      </c>
      <c r="CY30" s="40"/>
      <c r="CZ30" s="87"/>
      <c r="DB30" s="40">
        <v>0</v>
      </c>
      <c r="DC30" s="151"/>
      <c r="DD30" s="85">
        <v>47832</v>
      </c>
      <c r="DE30" s="40"/>
      <c r="DF30" s="87"/>
      <c r="DG30" s="40"/>
      <c r="DH30" s="87"/>
      <c r="DI30" s="40"/>
      <c r="DJ30" s="87"/>
      <c r="DK30" s="40"/>
      <c r="DL30" s="87"/>
      <c r="DM30" s="40">
        <f t="shared" si="6"/>
        <v>0</v>
      </c>
      <c r="DN30" s="40"/>
      <c r="DO30" s="40">
        <f t="shared" si="7"/>
        <v>0</v>
      </c>
      <c r="DP30" s="151"/>
      <c r="DQ30" s="85">
        <v>47832</v>
      </c>
      <c r="DR30" s="40"/>
      <c r="DS30" s="87"/>
      <c r="DT30" s="40">
        <f t="shared" si="8"/>
        <v>0</v>
      </c>
      <c r="DU30" s="40">
        <f t="shared" si="9"/>
        <v>0</v>
      </c>
      <c r="DV30" s="151"/>
      <c r="DW30" s="85">
        <v>47832</v>
      </c>
      <c r="DX30" s="40"/>
      <c r="DY30" s="102"/>
      <c r="DZ30" s="40"/>
      <c r="EA30" s="40"/>
      <c r="EB30" s="40">
        <f t="shared" si="10"/>
        <v>0</v>
      </c>
      <c r="EC30" s="40"/>
      <c r="ED30" s="85">
        <v>47832</v>
      </c>
      <c r="EI30" s="40">
        <f t="shared" si="11"/>
        <v>0</v>
      </c>
      <c r="EJ30" s="85"/>
      <c r="EK30" s="85">
        <v>47832</v>
      </c>
      <c r="EQ30" s="85">
        <v>47832</v>
      </c>
      <c r="ES30" s="101"/>
      <c r="ET30" s="40">
        <f t="shared" si="33"/>
        <v>0</v>
      </c>
      <c r="EU30" s="40">
        <f t="shared" si="12"/>
        <v>0</v>
      </c>
      <c r="EW30" s="85">
        <v>47832</v>
      </c>
      <c r="EY30" s="101"/>
      <c r="EZ30" s="40">
        <f t="shared" si="34"/>
        <v>0</v>
      </c>
      <c r="FA30" s="40">
        <f t="shared" si="13"/>
        <v>0</v>
      </c>
      <c r="FC30" s="85">
        <v>47832</v>
      </c>
      <c r="FH30" s="40">
        <f t="shared" si="14"/>
        <v>0</v>
      </c>
      <c r="FJ30" s="85">
        <v>47832</v>
      </c>
      <c r="FO30" s="40">
        <f t="shared" si="15"/>
        <v>0</v>
      </c>
      <c r="FQ30" s="85">
        <v>47832</v>
      </c>
      <c r="FV30" s="40">
        <f t="shared" si="16"/>
        <v>0</v>
      </c>
      <c r="FX30" s="85">
        <v>47832</v>
      </c>
      <c r="GC30" s="40">
        <f t="shared" si="17"/>
        <v>0</v>
      </c>
    </row>
    <row r="31" spans="2:185" x14ac:dyDescent="0.25">
      <c r="B31" s="85">
        <v>48029</v>
      </c>
      <c r="C31" s="85"/>
      <c r="D31" s="85">
        <v>48014</v>
      </c>
      <c r="E31" s="40">
        <f t="shared" si="18"/>
        <v>0</v>
      </c>
      <c r="F31" s="40">
        <f t="shared" si="19"/>
        <v>8771937.5</v>
      </c>
      <c r="G31" s="40">
        <f t="shared" si="20"/>
        <v>0</v>
      </c>
      <c r="H31" s="40">
        <v>0</v>
      </c>
      <c r="I31" s="40">
        <f t="shared" si="21"/>
        <v>8771937.5</v>
      </c>
      <c r="J31" s="40">
        <f>SUM(I30:I31)</f>
        <v>17543875</v>
      </c>
      <c r="L31" s="85">
        <v>48014</v>
      </c>
      <c r="M31" s="40"/>
      <c r="N31" s="101"/>
      <c r="O31" s="40">
        <f t="shared" si="37"/>
        <v>0</v>
      </c>
      <c r="P31" s="40"/>
      <c r="Q31" s="40"/>
      <c r="R31" s="40">
        <f t="shared" si="22"/>
        <v>0</v>
      </c>
      <c r="T31" s="85">
        <v>48014</v>
      </c>
      <c r="U31" s="40"/>
      <c r="V31" s="101"/>
      <c r="W31" s="40">
        <f t="shared" si="23"/>
        <v>0</v>
      </c>
      <c r="X31" s="40"/>
      <c r="Y31" s="40"/>
      <c r="Z31" s="40">
        <f t="shared" si="24"/>
        <v>0</v>
      </c>
      <c r="AB31" s="85">
        <v>48014</v>
      </c>
      <c r="AC31" s="40"/>
      <c r="AD31" s="101"/>
      <c r="AE31" s="40">
        <f t="shared" si="25"/>
        <v>0</v>
      </c>
      <c r="AF31" s="40"/>
      <c r="AG31" s="40"/>
      <c r="AH31" s="40">
        <f t="shared" si="26"/>
        <v>0</v>
      </c>
      <c r="AJ31" s="85">
        <v>48014</v>
      </c>
      <c r="AK31" s="40"/>
      <c r="AL31" s="101"/>
      <c r="AM31" s="40">
        <f t="shared" si="27"/>
        <v>0</v>
      </c>
      <c r="AN31" s="40"/>
      <c r="AO31" s="40"/>
      <c r="AP31" s="40">
        <f t="shared" si="28"/>
        <v>0</v>
      </c>
      <c r="AR31" s="85">
        <v>48014</v>
      </c>
      <c r="AS31" s="40"/>
      <c r="AT31" s="101"/>
      <c r="AU31" s="40"/>
      <c r="AV31" s="101"/>
      <c r="AW31" s="40">
        <f t="shared" si="1"/>
        <v>0</v>
      </c>
      <c r="AX31" s="40"/>
      <c r="AY31" s="40"/>
      <c r="AZ31" s="40">
        <f t="shared" si="2"/>
        <v>0</v>
      </c>
      <c r="BB31" s="85">
        <v>48014</v>
      </c>
      <c r="BC31" s="40"/>
      <c r="BD31" s="101"/>
      <c r="BE31" s="40">
        <f t="shared" si="3"/>
        <v>0</v>
      </c>
      <c r="BF31" s="40"/>
      <c r="BG31" s="40">
        <f t="shared" si="4"/>
        <v>0</v>
      </c>
      <c r="BI31" s="85">
        <v>48014</v>
      </c>
      <c r="BJ31" s="40"/>
      <c r="BK31" s="40"/>
      <c r="BL31" s="40"/>
      <c r="BM31" s="40"/>
      <c r="BN31" s="40">
        <v>0</v>
      </c>
      <c r="BP31" s="85">
        <v>48014</v>
      </c>
      <c r="BQ31" s="40"/>
      <c r="BR31" s="40"/>
      <c r="BS31" s="40"/>
      <c r="BT31" s="40"/>
      <c r="BU31" s="40">
        <v>0</v>
      </c>
      <c r="BW31" s="85">
        <v>48014</v>
      </c>
      <c r="BX31" s="40"/>
      <c r="BY31" s="40"/>
      <c r="BZ31" s="40"/>
      <c r="CA31" s="40"/>
      <c r="CB31" s="40">
        <v>0</v>
      </c>
      <c r="CD31" s="85">
        <v>48014</v>
      </c>
      <c r="CE31" s="40"/>
      <c r="CF31" s="40"/>
      <c r="CG31" s="40"/>
      <c r="CH31" s="40">
        <v>0</v>
      </c>
      <c r="CJ31" s="85">
        <v>48014</v>
      </c>
      <c r="CK31" s="40"/>
      <c r="CL31" s="87">
        <v>0</v>
      </c>
      <c r="CM31" s="40">
        <f t="shared" si="29"/>
        <v>2426875</v>
      </c>
      <c r="CN31" s="40">
        <f t="shared" si="32"/>
        <v>2426875</v>
      </c>
      <c r="CP31" s="85">
        <v>48014</v>
      </c>
      <c r="CQ31" s="40"/>
      <c r="CR31" s="87"/>
      <c r="CS31" s="40">
        <f t="shared" si="30"/>
        <v>6345062.5</v>
      </c>
      <c r="CT31" s="40"/>
      <c r="CU31" s="40">
        <f t="shared" si="5"/>
        <v>6345062.5</v>
      </c>
      <c r="CV31" s="151"/>
      <c r="CW31" s="85">
        <v>48014</v>
      </c>
      <c r="CY31" s="40"/>
      <c r="CZ31" s="87"/>
      <c r="DB31" s="40">
        <v>0</v>
      </c>
      <c r="DC31" s="151"/>
      <c r="DD31" s="85">
        <v>48014</v>
      </c>
      <c r="DE31" s="40"/>
      <c r="DF31" s="87"/>
      <c r="DG31" s="40"/>
      <c r="DH31" s="87"/>
      <c r="DI31" s="40"/>
      <c r="DJ31" s="87"/>
      <c r="DK31" s="40"/>
      <c r="DL31" s="87"/>
      <c r="DM31" s="40">
        <f t="shared" si="6"/>
        <v>0</v>
      </c>
      <c r="DN31" s="40"/>
      <c r="DO31" s="40">
        <f t="shared" si="7"/>
        <v>0</v>
      </c>
      <c r="DP31" s="151"/>
      <c r="DQ31" s="85">
        <v>48014</v>
      </c>
      <c r="DR31" s="40"/>
      <c r="DS31" s="87"/>
      <c r="DT31" s="40">
        <f t="shared" si="8"/>
        <v>0</v>
      </c>
      <c r="DU31" s="40">
        <f t="shared" si="9"/>
        <v>0</v>
      </c>
      <c r="DV31" s="151"/>
      <c r="DW31" s="85">
        <v>48014</v>
      </c>
      <c r="DX31" s="40"/>
      <c r="DY31" s="102"/>
      <c r="DZ31" s="40"/>
      <c r="EA31" s="40"/>
      <c r="EB31" s="40">
        <f t="shared" si="10"/>
        <v>0</v>
      </c>
      <c r="EC31" s="40"/>
      <c r="ED31" s="85">
        <v>48014</v>
      </c>
      <c r="EI31" s="40">
        <f t="shared" si="11"/>
        <v>0</v>
      </c>
      <c r="EJ31" s="85"/>
      <c r="EK31" s="85">
        <v>48014</v>
      </c>
      <c r="EQ31" s="85">
        <v>48014</v>
      </c>
      <c r="ES31" s="101"/>
      <c r="ET31" s="40">
        <f t="shared" si="33"/>
        <v>0</v>
      </c>
      <c r="EU31" s="40">
        <f t="shared" si="12"/>
        <v>0</v>
      </c>
      <c r="EW31" s="85">
        <v>48014</v>
      </c>
      <c r="EY31" s="101"/>
      <c r="EZ31" s="40">
        <f t="shared" si="34"/>
        <v>0</v>
      </c>
      <c r="FA31" s="40">
        <f t="shared" si="13"/>
        <v>0</v>
      </c>
      <c r="FC31" s="85">
        <v>48014</v>
      </c>
      <c r="FH31" s="40">
        <f t="shared" si="14"/>
        <v>0</v>
      </c>
      <c r="FJ31" s="85">
        <v>48014</v>
      </c>
      <c r="FO31" s="40">
        <f t="shared" si="15"/>
        <v>0</v>
      </c>
      <c r="FQ31" s="85">
        <v>48014</v>
      </c>
      <c r="FV31" s="40">
        <f t="shared" si="16"/>
        <v>0</v>
      </c>
      <c r="FX31" s="85">
        <v>48014</v>
      </c>
      <c r="GC31" s="40">
        <f t="shared" si="17"/>
        <v>0</v>
      </c>
    </row>
    <row r="32" spans="2:185" x14ac:dyDescent="0.25">
      <c r="B32" s="85">
        <v>48213</v>
      </c>
      <c r="C32" s="85"/>
      <c r="D32" s="85">
        <v>48197</v>
      </c>
      <c r="E32" s="40">
        <f t="shared" si="18"/>
        <v>0</v>
      </c>
      <c r="F32" s="40">
        <f t="shared" si="19"/>
        <v>8771937.5</v>
      </c>
      <c r="G32" s="40">
        <f t="shared" si="20"/>
        <v>0</v>
      </c>
      <c r="H32" s="40">
        <v>0</v>
      </c>
      <c r="I32" s="40">
        <f t="shared" si="21"/>
        <v>8771937.5</v>
      </c>
      <c r="J32" s="40"/>
      <c r="L32" s="85">
        <v>48197</v>
      </c>
      <c r="M32" s="40"/>
      <c r="N32" s="101"/>
      <c r="O32" s="40">
        <f t="shared" si="37"/>
        <v>0</v>
      </c>
      <c r="P32" s="40"/>
      <c r="Q32" s="40"/>
      <c r="R32" s="40">
        <f t="shared" si="22"/>
        <v>0</v>
      </c>
      <c r="T32" s="85">
        <v>48197</v>
      </c>
      <c r="U32" s="40"/>
      <c r="V32" s="101"/>
      <c r="W32" s="40">
        <f t="shared" si="23"/>
        <v>0</v>
      </c>
      <c r="X32" s="40"/>
      <c r="Y32" s="40"/>
      <c r="Z32" s="40">
        <f t="shared" si="24"/>
        <v>0</v>
      </c>
      <c r="AB32" s="85">
        <v>48197</v>
      </c>
      <c r="AC32" s="40"/>
      <c r="AD32" s="101"/>
      <c r="AE32" s="40">
        <f t="shared" si="25"/>
        <v>0</v>
      </c>
      <c r="AF32" s="40"/>
      <c r="AG32" s="40"/>
      <c r="AH32" s="40">
        <f t="shared" si="26"/>
        <v>0</v>
      </c>
      <c r="AJ32" s="85">
        <v>48197</v>
      </c>
      <c r="AK32" s="40"/>
      <c r="AL32" s="101"/>
      <c r="AM32" s="40">
        <f t="shared" si="27"/>
        <v>0</v>
      </c>
      <c r="AN32" s="40"/>
      <c r="AO32" s="40"/>
      <c r="AP32" s="40">
        <f t="shared" si="28"/>
        <v>0</v>
      </c>
      <c r="AR32" s="85">
        <v>48197</v>
      </c>
      <c r="AS32" s="40"/>
      <c r="AT32" s="101"/>
      <c r="AU32" s="40"/>
      <c r="AV32" s="101"/>
      <c r="AW32" s="40">
        <f t="shared" si="1"/>
        <v>0</v>
      </c>
      <c r="AX32" s="40"/>
      <c r="AY32" s="40"/>
      <c r="AZ32" s="40">
        <f t="shared" si="2"/>
        <v>0</v>
      </c>
      <c r="BB32" s="85">
        <v>48197</v>
      </c>
      <c r="BC32" s="40"/>
      <c r="BD32" s="101"/>
      <c r="BE32" s="40">
        <f t="shared" si="3"/>
        <v>0</v>
      </c>
      <c r="BF32" s="40"/>
      <c r="BG32" s="40">
        <f t="shared" si="4"/>
        <v>0</v>
      </c>
      <c r="BI32" s="85">
        <v>48197</v>
      </c>
      <c r="BJ32" s="40"/>
      <c r="BK32" s="40"/>
      <c r="BL32" s="40"/>
      <c r="BM32" s="40"/>
      <c r="BN32" s="40">
        <v>0</v>
      </c>
      <c r="BP32" s="85">
        <v>48197</v>
      </c>
      <c r="BQ32" s="40"/>
      <c r="BR32" s="40"/>
      <c r="BS32" s="40"/>
      <c r="BT32" s="40"/>
      <c r="BU32" s="40">
        <v>0</v>
      </c>
      <c r="BW32" s="85">
        <v>48197</v>
      </c>
      <c r="BX32" s="40"/>
      <c r="BY32" s="40"/>
      <c r="BZ32" s="40"/>
      <c r="CA32" s="40"/>
      <c r="CB32" s="40">
        <v>0</v>
      </c>
      <c r="CD32" s="85">
        <v>48197</v>
      </c>
      <c r="CE32" s="40"/>
      <c r="CF32" s="40"/>
      <c r="CG32" s="40"/>
      <c r="CH32" s="40">
        <v>0</v>
      </c>
      <c r="CJ32" s="85">
        <v>48197</v>
      </c>
      <c r="CK32" s="40"/>
      <c r="CL32" s="87">
        <v>0</v>
      </c>
      <c r="CM32" s="40">
        <f t="shared" si="29"/>
        <v>2426875</v>
      </c>
      <c r="CN32" s="40">
        <f t="shared" si="32"/>
        <v>2426875</v>
      </c>
      <c r="CP32" s="85">
        <v>48197</v>
      </c>
      <c r="CQ32" s="40"/>
      <c r="CR32" s="87"/>
      <c r="CS32" s="40">
        <f t="shared" si="30"/>
        <v>6345062.5</v>
      </c>
      <c r="CT32" s="40"/>
      <c r="CU32" s="40">
        <f t="shared" si="5"/>
        <v>6345062.5</v>
      </c>
      <c r="CV32" s="151"/>
      <c r="CW32" s="85">
        <v>48197</v>
      </c>
      <c r="CY32" s="40"/>
      <c r="CZ32" s="87"/>
      <c r="DB32" s="40">
        <v>0</v>
      </c>
      <c r="DC32" s="151"/>
      <c r="DD32" s="85">
        <v>48197</v>
      </c>
      <c r="DE32" s="40"/>
      <c r="DF32" s="87"/>
      <c r="DG32" s="40"/>
      <c r="DH32" s="87"/>
      <c r="DI32" s="40"/>
      <c r="DJ32" s="87"/>
      <c r="DK32" s="40"/>
      <c r="DL32" s="87"/>
      <c r="DM32" s="40">
        <f t="shared" si="6"/>
        <v>0</v>
      </c>
      <c r="DN32" s="40"/>
      <c r="DO32" s="40">
        <f t="shared" si="7"/>
        <v>0</v>
      </c>
      <c r="DP32" s="151"/>
      <c r="DQ32" s="85">
        <v>48197</v>
      </c>
      <c r="DR32" s="40"/>
      <c r="DS32" s="87"/>
      <c r="DT32" s="40">
        <f t="shared" si="8"/>
        <v>0</v>
      </c>
      <c r="DU32" s="40">
        <f t="shared" si="9"/>
        <v>0</v>
      </c>
      <c r="DV32" s="151"/>
      <c r="DW32" s="85">
        <v>48197</v>
      </c>
      <c r="DX32" s="40"/>
      <c r="DY32" s="102"/>
      <c r="DZ32" s="40"/>
      <c r="EA32" s="40"/>
      <c r="EB32" s="40">
        <f t="shared" si="10"/>
        <v>0</v>
      </c>
      <c r="EC32" s="40"/>
      <c r="ED32" s="85">
        <v>48197</v>
      </c>
      <c r="EI32" s="40">
        <f t="shared" si="11"/>
        <v>0</v>
      </c>
      <c r="EJ32" s="85"/>
      <c r="EK32" s="85">
        <v>48197</v>
      </c>
      <c r="EQ32" s="85">
        <v>48197</v>
      </c>
      <c r="ES32" s="101"/>
      <c r="ET32" s="40">
        <f t="shared" si="33"/>
        <v>0</v>
      </c>
      <c r="EU32" s="40">
        <f t="shared" si="12"/>
        <v>0</v>
      </c>
      <c r="EW32" s="85">
        <v>48197</v>
      </c>
      <c r="EY32" s="101"/>
      <c r="EZ32" s="40">
        <f t="shared" si="34"/>
        <v>0</v>
      </c>
      <c r="FA32" s="40">
        <f t="shared" si="13"/>
        <v>0</v>
      </c>
      <c r="FC32" s="85">
        <v>48197</v>
      </c>
      <c r="FH32" s="40">
        <f t="shared" si="14"/>
        <v>0</v>
      </c>
      <c r="FJ32" s="85">
        <v>48197</v>
      </c>
      <c r="FO32" s="40">
        <f t="shared" si="15"/>
        <v>0</v>
      </c>
      <c r="FQ32" s="85">
        <v>48197</v>
      </c>
      <c r="FV32" s="40">
        <f t="shared" si="16"/>
        <v>0</v>
      </c>
      <c r="FX32" s="85">
        <v>48197</v>
      </c>
      <c r="GC32" s="40">
        <f t="shared" si="17"/>
        <v>0</v>
      </c>
    </row>
    <row r="33" spans="2:185" x14ac:dyDescent="0.25">
      <c r="B33" s="85">
        <v>48395</v>
      </c>
      <c r="C33" s="85"/>
      <c r="D33" s="85">
        <v>48380</v>
      </c>
      <c r="E33" s="40">
        <f t="shared" si="18"/>
        <v>0</v>
      </c>
      <c r="F33" s="40">
        <f t="shared" si="19"/>
        <v>8771937.5</v>
      </c>
      <c r="G33" s="40">
        <f t="shared" si="20"/>
        <v>0</v>
      </c>
      <c r="H33" s="40">
        <v>0</v>
      </c>
      <c r="I33" s="40">
        <f t="shared" si="21"/>
        <v>8771937.5</v>
      </c>
      <c r="J33" s="40">
        <f>SUM(I32:I33)</f>
        <v>17543875</v>
      </c>
      <c r="L33" s="85">
        <v>48380</v>
      </c>
      <c r="M33" s="40"/>
      <c r="N33" s="101"/>
      <c r="O33" s="40">
        <f t="shared" si="37"/>
        <v>0</v>
      </c>
      <c r="P33" s="40"/>
      <c r="Q33" s="40"/>
      <c r="R33" s="40">
        <f t="shared" si="22"/>
        <v>0</v>
      </c>
      <c r="T33" s="85">
        <v>48380</v>
      </c>
      <c r="U33" s="40"/>
      <c r="V33" s="101"/>
      <c r="W33" s="40">
        <f t="shared" si="23"/>
        <v>0</v>
      </c>
      <c r="X33" s="40"/>
      <c r="Y33" s="40"/>
      <c r="Z33" s="40">
        <f t="shared" si="24"/>
        <v>0</v>
      </c>
      <c r="AB33" s="85">
        <v>48380</v>
      </c>
      <c r="AC33" s="40"/>
      <c r="AD33" s="101"/>
      <c r="AE33" s="40">
        <f t="shared" si="25"/>
        <v>0</v>
      </c>
      <c r="AF33" s="40"/>
      <c r="AG33" s="40"/>
      <c r="AH33" s="40">
        <f t="shared" si="26"/>
        <v>0</v>
      </c>
      <c r="AJ33" s="85">
        <v>48380</v>
      </c>
      <c r="AK33" s="40"/>
      <c r="AL33" s="101"/>
      <c r="AM33" s="40">
        <f t="shared" si="27"/>
        <v>0</v>
      </c>
      <c r="AN33" s="40"/>
      <c r="AO33" s="40"/>
      <c r="AP33" s="40">
        <f t="shared" si="28"/>
        <v>0</v>
      </c>
      <c r="AR33" s="85">
        <v>48380</v>
      </c>
      <c r="AS33" s="40"/>
      <c r="AT33" s="101"/>
      <c r="AU33" s="40"/>
      <c r="AV33" s="101"/>
      <c r="AW33" s="40">
        <f t="shared" si="1"/>
        <v>0</v>
      </c>
      <c r="AX33" s="40"/>
      <c r="AY33" s="40"/>
      <c r="AZ33" s="40">
        <f t="shared" si="2"/>
        <v>0</v>
      </c>
      <c r="BB33" s="85">
        <v>48380</v>
      </c>
      <c r="BC33" s="40"/>
      <c r="BD33" s="101"/>
      <c r="BE33" s="40">
        <f t="shared" si="3"/>
        <v>0</v>
      </c>
      <c r="BF33" s="40"/>
      <c r="BG33" s="40">
        <f t="shared" si="4"/>
        <v>0</v>
      </c>
      <c r="BI33" s="85">
        <v>48380</v>
      </c>
      <c r="BJ33" s="40"/>
      <c r="BK33" s="40"/>
      <c r="BL33" s="40"/>
      <c r="BM33" s="40"/>
      <c r="BN33" s="40">
        <v>0</v>
      </c>
      <c r="BP33" s="85">
        <v>48380</v>
      </c>
      <c r="BQ33" s="40"/>
      <c r="BR33" s="40"/>
      <c r="BS33" s="40"/>
      <c r="BT33" s="40"/>
      <c r="BU33" s="40">
        <v>0</v>
      </c>
      <c r="BW33" s="85">
        <v>48380</v>
      </c>
      <c r="BX33" s="40"/>
      <c r="BY33" s="40"/>
      <c r="BZ33" s="40"/>
      <c r="CA33" s="40"/>
      <c r="CB33" s="40">
        <v>0</v>
      </c>
      <c r="CD33" s="85">
        <v>48380</v>
      </c>
      <c r="CE33" s="40"/>
      <c r="CF33" s="40"/>
      <c r="CG33" s="40"/>
      <c r="CH33" s="40">
        <v>0</v>
      </c>
      <c r="CJ33" s="85">
        <v>48380</v>
      </c>
      <c r="CK33" s="40"/>
      <c r="CL33" s="87">
        <v>0</v>
      </c>
      <c r="CM33" s="40">
        <f t="shared" si="29"/>
        <v>2426875</v>
      </c>
      <c r="CN33" s="40">
        <f t="shared" si="32"/>
        <v>2426875</v>
      </c>
      <c r="CP33" s="85">
        <v>48380</v>
      </c>
      <c r="CQ33" s="40"/>
      <c r="CR33" s="87"/>
      <c r="CS33" s="40">
        <f t="shared" si="30"/>
        <v>6345062.5</v>
      </c>
      <c r="CT33" s="40"/>
      <c r="CU33" s="40">
        <f t="shared" si="5"/>
        <v>6345062.5</v>
      </c>
      <c r="CV33" s="151"/>
      <c r="CW33" s="85">
        <v>48380</v>
      </c>
      <c r="CY33" s="40"/>
      <c r="CZ33" s="87"/>
      <c r="DB33" s="40">
        <v>0</v>
      </c>
      <c r="DC33" s="151"/>
      <c r="DD33" s="85">
        <v>48380</v>
      </c>
      <c r="DE33" s="40"/>
      <c r="DF33" s="87"/>
      <c r="DG33" s="40"/>
      <c r="DH33" s="87"/>
      <c r="DI33" s="40"/>
      <c r="DJ33" s="87"/>
      <c r="DK33" s="40"/>
      <c r="DL33" s="87"/>
      <c r="DM33" s="40">
        <f t="shared" si="6"/>
        <v>0</v>
      </c>
      <c r="DN33" s="40"/>
      <c r="DO33" s="40">
        <f t="shared" si="7"/>
        <v>0</v>
      </c>
      <c r="DP33" s="151"/>
      <c r="DQ33" s="85">
        <v>48380</v>
      </c>
      <c r="DR33" s="40"/>
      <c r="DS33" s="87"/>
      <c r="DT33" s="40">
        <f t="shared" si="8"/>
        <v>0</v>
      </c>
      <c r="DU33" s="40">
        <f t="shared" si="9"/>
        <v>0</v>
      </c>
      <c r="DV33" s="151"/>
      <c r="DW33" s="85">
        <v>48380</v>
      </c>
      <c r="DX33" s="40"/>
      <c r="DY33" s="102"/>
      <c r="DZ33" s="40"/>
      <c r="EA33" s="40"/>
      <c r="EB33" s="40">
        <f t="shared" si="10"/>
        <v>0</v>
      </c>
      <c r="EC33" s="40"/>
      <c r="ED33" s="85">
        <v>48380</v>
      </c>
      <c r="EI33" s="40">
        <f t="shared" si="11"/>
        <v>0</v>
      </c>
      <c r="EJ33" s="85"/>
      <c r="EK33" s="85">
        <v>48380</v>
      </c>
      <c r="EQ33" s="85">
        <v>48380</v>
      </c>
      <c r="ES33" s="101"/>
      <c r="ET33" s="40">
        <f t="shared" si="33"/>
        <v>0</v>
      </c>
      <c r="EU33" s="40">
        <f t="shared" si="12"/>
        <v>0</v>
      </c>
      <c r="EW33" s="85">
        <v>48380</v>
      </c>
      <c r="EY33" s="101"/>
      <c r="EZ33" s="40">
        <f t="shared" si="34"/>
        <v>0</v>
      </c>
      <c r="FA33" s="40">
        <f t="shared" si="13"/>
        <v>0</v>
      </c>
      <c r="FC33" s="85">
        <v>48380</v>
      </c>
      <c r="FH33" s="40">
        <f t="shared" si="14"/>
        <v>0</v>
      </c>
      <c r="FJ33" s="85">
        <v>48380</v>
      </c>
      <c r="FO33" s="40">
        <f t="shared" si="15"/>
        <v>0</v>
      </c>
      <c r="FQ33" s="85">
        <v>48380</v>
      </c>
      <c r="FV33" s="40">
        <f t="shared" si="16"/>
        <v>0</v>
      </c>
      <c r="FX33" s="85">
        <v>48380</v>
      </c>
      <c r="GC33" s="40">
        <f t="shared" si="17"/>
        <v>0</v>
      </c>
    </row>
    <row r="34" spans="2:185" x14ac:dyDescent="0.25">
      <c r="B34" s="85">
        <v>48579</v>
      </c>
      <c r="C34" s="85"/>
      <c r="D34" s="85">
        <v>48563</v>
      </c>
      <c r="E34" s="40">
        <f t="shared" si="18"/>
        <v>0</v>
      </c>
      <c r="F34" s="40">
        <f t="shared" si="19"/>
        <v>8771937.5</v>
      </c>
      <c r="G34" s="40">
        <f t="shared" si="20"/>
        <v>0</v>
      </c>
      <c r="H34" s="40">
        <v>0</v>
      </c>
      <c r="I34" s="40">
        <f t="shared" si="21"/>
        <v>8771937.5</v>
      </c>
      <c r="J34" s="40"/>
      <c r="L34" s="85">
        <v>48563</v>
      </c>
      <c r="M34" s="40"/>
      <c r="N34" s="101"/>
      <c r="O34" s="40">
        <f t="shared" si="37"/>
        <v>0</v>
      </c>
      <c r="P34" s="40"/>
      <c r="Q34" s="40"/>
      <c r="R34" s="40">
        <f t="shared" si="22"/>
        <v>0</v>
      </c>
      <c r="T34" s="85">
        <v>48563</v>
      </c>
      <c r="U34" s="40"/>
      <c r="V34" s="101"/>
      <c r="W34" s="40">
        <f t="shared" si="23"/>
        <v>0</v>
      </c>
      <c r="X34" s="40"/>
      <c r="Y34" s="40"/>
      <c r="Z34" s="40">
        <f t="shared" si="24"/>
        <v>0</v>
      </c>
      <c r="AB34" s="85">
        <v>48563</v>
      </c>
      <c r="AC34" s="40"/>
      <c r="AD34" s="101"/>
      <c r="AE34" s="40">
        <f t="shared" si="25"/>
        <v>0</v>
      </c>
      <c r="AF34" s="40"/>
      <c r="AG34" s="40"/>
      <c r="AH34" s="40">
        <f t="shared" si="26"/>
        <v>0</v>
      </c>
      <c r="AJ34" s="85">
        <v>48563</v>
      </c>
      <c r="AK34" s="40"/>
      <c r="AL34" s="101"/>
      <c r="AM34" s="40">
        <f t="shared" si="27"/>
        <v>0</v>
      </c>
      <c r="AN34" s="40"/>
      <c r="AO34" s="40"/>
      <c r="AP34" s="40">
        <f t="shared" si="28"/>
        <v>0</v>
      </c>
      <c r="AR34" s="85">
        <v>48563</v>
      </c>
      <c r="AS34" s="40"/>
      <c r="AT34" s="101"/>
      <c r="AU34" s="40"/>
      <c r="AV34" s="101"/>
      <c r="AW34" s="40">
        <f t="shared" si="1"/>
        <v>0</v>
      </c>
      <c r="AX34" s="40"/>
      <c r="AY34" s="40"/>
      <c r="AZ34" s="40">
        <f t="shared" si="2"/>
        <v>0</v>
      </c>
      <c r="BB34" s="85">
        <v>48563</v>
      </c>
      <c r="BC34" s="40"/>
      <c r="BD34" s="101"/>
      <c r="BE34" s="40">
        <f t="shared" si="3"/>
        <v>0</v>
      </c>
      <c r="BF34" s="40"/>
      <c r="BG34" s="40">
        <f t="shared" si="4"/>
        <v>0</v>
      </c>
      <c r="BI34" s="85">
        <v>48563</v>
      </c>
      <c r="BJ34" s="40"/>
      <c r="BK34" s="40"/>
      <c r="BL34" s="40"/>
      <c r="BM34" s="40"/>
      <c r="BN34" s="40">
        <v>0</v>
      </c>
      <c r="BP34" s="85">
        <v>48563</v>
      </c>
      <c r="BQ34" s="40"/>
      <c r="BR34" s="40"/>
      <c r="BS34" s="40"/>
      <c r="BT34" s="40"/>
      <c r="BU34" s="40">
        <v>0</v>
      </c>
      <c r="BW34" s="85">
        <v>48563</v>
      </c>
      <c r="BX34" s="40"/>
      <c r="BY34" s="40"/>
      <c r="BZ34" s="40"/>
      <c r="CA34" s="40"/>
      <c r="CB34" s="40">
        <v>0</v>
      </c>
      <c r="CD34" s="85">
        <v>48563</v>
      </c>
      <c r="CE34" s="40"/>
      <c r="CF34" s="40"/>
      <c r="CG34" s="40"/>
      <c r="CH34" s="40">
        <v>0</v>
      </c>
      <c r="CJ34" s="85">
        <v>48563</v>
      </c>
      <c r="CK34" s="40"/>
      <c r="CL34" s="87">
        <v>0</v>
      </c>
      <c r="CM34" s="40">
        <f t="shared" si="29"/>
        <v>2426875</v>
      </c>
      <c r="CN34" s="40">
        <f t="shared" si="32"/>
        <v>2426875</v>
      </c>
      <c r="CP34" s="85">
        <v>48563</v>
      </c>
      <c r="CQ34" s="40"/>
      <c r="CR34" s="87"/>
      <c r="CS34" s="40">
        <f t="shared" si="30"/>
        <v>6345062.5</v>
      </c>
      <c r="CT34" s="40"/>
      <c r="CU34" s="40">
        <f t="shared" si="5"/>
        <v>6345062.5</v>
      </c>
      <c r="CV34" s="151"/>
      <c r="CW34" s="85">
        <v>48563</v>
      </c>
      <c r="CY34" s="40"/>
      <c r="CZ34" s="87"/>
      <c r="DB34" s="40">
        <v>0</v>
      </c>
      <c r="DC34" s="151"/>
      <c r="DD34" s="85">
        <v>48563</v>
      </c>
      <c r="DE34" s="40"/>
      <c r="DF34" s="87"/>
      <c r="DG34" s="40"/>
      <c r="DH34" s="87"/>
      <c r="DI34" s="40"/>
      <c r="DJ34" s="87"/>
      <c r="DK34" s="40"/>
      <c r="DL34" s="87"/>
      <c r="DM34" s="40">
        <f t="shared" si="6"/>
        <v>0</v>
      </c>
      <c r="DN34" s="40"/>
      <c r="DO34" s="40">
        <f t="shared" si="7"/>
        <v>0</v>
      </c>
      <c r="DP34" s="151"/>
      <c r="DQ34" s="85">
        <v>48563</v>
      </c>
      <c r="DR34" s="40"/>
      <c r="DS34" s="87"/>
      <c r="DT34" s="40">
        <f t="shared" si="8"/>
        <v>0</v>
      </c>
      <c r="DU34" s="40">
        <f t="shared" si="9"/>
        <v>0</v>
      </c>
      <c r="DV34" s="151"/>
      <c r="DW34" s="85">
        <v>48563</v>
      </c>
      <c r="DX34" s="40"/>
      <c r="DY34" s="102"/>
      <c r="DZ34" s="40"/>
      <c r="EA34" s="40"/>
      <c r="EB34" s="40">
        <f t="shared" si="10"/>
        <v>0</v>
      </c>
      <c r="EC34" s="40"/>
      <c r="ED34" s="85">
        <v>48563</v>
      </c>
      <c r="EI34" s="40">
        <f t="shared" si="11"/>
        <v>0</v>
      </c>
      <c r="EJ34" s="85"/>
      <c r="EK34" s="85">
        <v>48563</v>
      </c>
      <c r="EQ34" s="85">
        <v>48563</v>
      </c>
      <c r="ES34" s="101"/>
      <c r="ET34" s="40">
        <f t="shared" si="33"/>
        <v>0</v>
      </c>
      <c r="EU34" s="40">
        <f t="shared" si="12"/>
        <v>0</v>
      </c>
      <c r="EW34" s="85">
        <v>48563</v>
      </c>
      <c r="EY34" s="101"/>
      <c r="EZ34" s="40">
        <f t="shared" si="34"/>
        <v>0</v>
      </c>
      <c r="FA34" s="40">
        <f t="shared" si="13"/>
        <v>0</v>
      </c>
      <c r="FC34" s="85">
        <v>48563</v>
      </c>
      <c r="FH34" s="40">
        <f t="shared" si="14"/>
        <v>0</v>
      </c>
      <c r="FJ34" s="85">
        <v>48563</v>
      </c>
      <c r="FO34" s="40">
        <f t="shared" si="15"/>
        <v>0</v>
      </c>
      <c r="FQ34" s="85">
        <v>48563</v>
      </c>
      <c r="FV34" s="40">
        <f t="shared" si="16"/>
        <v>0</v>
      </c>
      <c r="FX34" s="85">
        <v>48563</v>
      </c>
      <c r="GC34" s="40">
        <f t="shared" si="17"/>
        <v>0</v>
      </c>
    </row>
    <row r="35" spans="2:185" x14ac:dyDescent="0.25">
      <c r="B35" s="85">
        <v>48760</v>
      </c>
      <c r="C35" s="85"/>
      <c r="D35" s="85">
        <v>48745</v>
      </c>
      <c r="E35" s="40">
        <f t="shared" si="18"/>
        <v>0</v>
      </c>
      <c r="F35" s="40">
        <f t="shared" si="19"/>
        <v>8771937.5</v>
      </c>
      <c r="G35" s="40">
        <f t="shared" si="20"/>
        <v>0</v>
      </c>
      <c r="H35" s="40">
        <v>0</v>
      </c>
      <c r="I35" s="40">
        <f t="shared" si="21"/>
        <v>8771937.5</v>
      </c>
      <c r="J35" s="40">
        <f>SUM(I34:I35)</f>
        <v>17543875</v>
      </c>
      <c r="L35" s="85">
        <v>48745</v>
      </c>
      <c r="M35" s="40"/>
      <c r="N35" s="101"/>
      <c r="O35" s="40">
        <f t="shared" si="37"/>
        <v>0</v>
      </c>
      <c r="P35" s="40"/>
      <c r="Q35" s="40"/>
      <c r="R35" s="40">
        <f t="shared" si="22"/>
        <v>0</v>
      </c>
      <c r="T35" s="85">
        <v>48745</v>
      </c>
      <c r="U35" s="40"/>
      <c r="V35" s="101"/>
      <c r="W35" s="40">
        <f t="shared" si="23"/>
        <v>0</v>
      </c>
      <c r="X35" s="40"/>
      <c r="Y35" s="40"/>
      <c r="Z35" s="40">
        <f t="shared" si="24"/>
        <v>0</v>
      </c>
      <c r="AB35" s="85">
        <v>48745</v>
      </c>
      <c r="AC35" s="40"/>
      <c r="AD35" s="101"/>
      <c r="AE35" s="40">
        <f t="shared" si="25"/>
        <v>0</v>
      </c>
      <c r="AF35" s="40"/>
      <c r="AG35" s="40"/>
      <c r="AH35" s="40">
        <f t="shared" si="26"/>
        <v>0</v>
      </c>
      <c r="AJ35" s="85">
        <v>48745</v>
      </c>
      <c r="AK35" s="40"/>
      <c r="AL35" s="101"/>
      <c r="AM35" s="40">
        <f t="shared" si="27"/>
        <v>0</v>
      </c>
      <c r="AN35" s="40"/>
      <c r="AO35" s="40"/>
      <c r="AP35" s="40">
        <f t="shared" si="28"/>
        <v>0</v>
      </c>
      <c r="AR35" s="85">
        <v>48745</v>
      </c>
      <c r="AS35" s="40"/>
      <c r="AT35" s="101"/>
      <c r="AU35" s="40"/>
      <c r="AV35" s="101"/>
      <c r="AW35" s="40">
        <f t="shared" si="1"/>
        <v>0</v>
      </c>
      <c r="AX35" s="40"/>
      <c r="AY35" s="40"/>
      <c r="AZ35" s="40">
        <f t="shared" si="2"/>
        <v>0</v>
      </c>
      <c r="BB35" s="85">
        <v>48745</v>
      </c>
      <c r="BC35" s="40"/>
      <c r="BD35" s="101"/>
      <c r="BE35" s="40">
        <f t="shared" si="3"/>
        <v>0</v>
      </c>
      <c r="BF35" s="40"/>
      <c r="BG35" s="40">
        <f t="shared" si="4"/>
        <v>0</v>
      </c>
      <c r="BI35" s="85">
        <v>48745</v>
      </c>
      <c r="BJ35" s="40"/>
      <c r="BK35" s="40"/>
      <c r="BL35" s="40"/>
      <c r="BM35" s="40"/>
      <c r="BN35" s="40">
        <v>0</v>
      </c>
      <c r="BP35" s="85">
        <v>48745</v>
      </c>
      <c r="BQ35" s="40"/>
      <c r="BR35" s="40"/>
      <c r="BS35" s="40"/>
      <c r="BT35" s="40"/>
      <c r="BU35" s="40">
        <v>0</v>
      </c>
      <c r="BW35" s="85">
        <v>48745</v>
      </c>
      <c r="BX35" s="40"/>
      <c r="BY35" s="40"/>
      <c r="BZ35" s="40"/>
      <c r="CA35" s="40"/>
      <c r="CB35" s="40">
        <v>0</v>
      </c>
      <c r="CD35" s="85">
        <v>48745</v>
      </c>
      <c r="CE35" s="40"/>
      <c r="CF35" s="40"/>
      <c r="CG35" s="40"/>
      <c r="CH35" s="40">
        <v>0</v>
      </c>
      <c r="CJ35" s="85">
        <v>48745</v>
      </c>
      <c r="CK35" s="40"/>
      <c r="CL35" s="87">
        <v>0</v>
      </c>
      <c r="CM35" s="40">
        <f t="shared" si="29"/>
        <v>2426875</v>
      </c>
      <c r="CN35" s="40">
        <f t="shared" si="32"/>
        <v>2426875</v>
      </c>
      <c r="CP35" s="85">
        <v>48745</v>
      </c>
      <c r="CQ35" s="40"/>
      <c r="CR35" s="87"/>
      <c r="CS35" s="40">
        <f t="shared" si="30"/>
        <v>6345062.5</v>
      </c>
      <c r="CT35" s="40"/>
      <c r="CU35" s="40">
        <f t="shared" si="5"/>
        <v>6345062.5</v>
      </c>
      <c r="CV35" s="151"/>
      <c r="CW35" s="85">
        <v>48745</v>
      </c>
      <c r="CY35" s="40"/>
      <c r="CZ35" s="87"/>
      <c r="DB35" s="40">
        <v>0</v>
      </c>
      <c r="DC35" s="151"/>
      <c r="DD35" s="85">
        <v>48745</v>
      </c>
      <c r="DE35" s="40"/>
      <c r="DF35" s="87"/>
      <c r="DG35" s="40"/>
      <c r="DH35" s="87"/>
      <c r="DI35" s="40"/>
      <c r="DJ35" s="87"/>
      <c r="DK35" s="40"/>
      <c r="DL35" s="87"/>
      <c r="DM35" s="40">
        <f t="shared" si="6"/>
        <v>0</v>
      </c>
      <c r="DN35" s="40"/>
      <c r="DO35" s="40">
        <f t="shared" si="7"/>
        <v>0</v>
      </c>
      <c r="DP35" s="151"/>
      <c r="DQ35" s="85">
        <v>48745</v>
      </c>
      <c r="DR35" s="40"/>
      <c r="DS35" s="87"/>
      <c r="DT35" s="40">
        <f t="shared" si="8"/>
        <v>0</v>
      </c>
      <c r="DU35" s="40">
        <f t="shared" si="9"/>
        <v>0</v>
      </c>
      <c r="DV35" s="151"/>
      <c r="DW35" s="85">
        <v>48745</v>
      </c>
      <c r="DX35" s="40"/>
      <c r="DY35" s="40"/>
      <c r="DZ35" s="40"/>
      <c r="EA35" s="40"/>
      <c r="EB35" s="40">
        <f t="shared" si="10"/>
        <v>0</v>
      </c>
      <c r="EC35" s="40"/>
      <c r="ED35" s="85">
        <v>48745</v>
      </c>
      <c r="EI35" s="40">
        <f t="shared" si="11"/>
        <v>0</v>
      </c>
      <c r="EJ35" s="85"/>
      <c r="EK35" s="85">
        <v>48745</v>
      </c>
      <c r="EQ35" s="85">
        <v>48745</v>
      </c>
      <c r="ES35" s="101"/>
      <c r="ET35" s="40">
        <f t="shared" si="33"/>
        <v>0</v>
      </c>
      <c r="EU35" s="40">
        <f t="shared" si="12"/>
        <v>0</v>
      </c>
      <c r="EW35" s="85">
        <v>48745</v>
      </c>
      <c r="EY35" s="101"/>
      <c r="EZ35" s="40">
        <f t="shared" si="34"/>
        <v>0</v>
      </c>
      <c r="FA35" s="40">
        <f t="shared" si="13"/>
        <v>0</v>
      </c>
      <c r="FC35" s="85">
        <v>48745</v>
      </c>
      <c r="FH35" s="40">
        <f t="shared" si="14"/>
        <v>0</v>
      </c>
      <c r="FJ35" s="85">
        <v>48745</v>
      </c>
      <c r="FO35" s="40">
        <f t="shared" si="15"/>
        <v>0</v>
      </c>
      <c r="FQ35" s="85">
        <v>48745</v>
      </c>
      <c r="FV35" s="40">
        <f t="shared" si="16"/>
        <v>0</v>
      </c>
      <c r="FX35" s="85">
        <v>48745</v>
      </c>
      <c r="GC35" s="40">
        <f t="shared" si="17"/>
        <v>0</v>
      </c>
    </row>
    <row r="36" spans="2:185" x14ac:dyDescent="0.25">
      <c r="B36" s="85">
        <v>48944</v>
      </c>
      <c r="C36" s="85"/>
      <c r="D36" s="85">
        <v>48928</v>
      </c>
      <c r="E36" s="40">
        <f t="shared" si="18"/>
        <v>0</v>
      </c>
      <c r="F36" s="40">
        <f t="shared" si="19"/>
        <v>8771937.5</v>
      </c>
      <c r="G36" s="40">
        <f t="shared" si="20"/>
        <v>0</v>
      </c>
      <c r="H36" s="40">
        <v>0</v>
      </c>
      <c r="I36" s="40">
        <f t="shared" si="21"/>
        <v>8771937.5</v>
      </c>
      <c r="J36" s="40"/>
      <c r="L36" s="85">
        <v>48928</v>
      </c>
      <c r="M36" s="40"/>
      <c r="N36" s="101"/>
      <c r="O36" s="40">
        <f t="shared" si="37"/>
        <v>0</v>
      </c>
      <c r="P36" s="40"/>
      <c r="Q36" s="40"/>
      <c r="R36" s="40">
        <f t="shared" si="22"/>
        <v>0</v>
      </c>
      <c r="T36" s="85">
        <v>48928</v>
      </c>
      <c r="U36" s="40"/>
      <c r="V36" s="101"/>
      <c r="W36" s="40">
        <f t="shared" si="23"/>
        <v>0</v>
      </c>
      <c r="X36" s="40"/>
      <c r="Y36" s="40"/>
      <c r="Z36" s="40">
        <f t="shared" si="24"/>
        <v>0</v>
      </c>
      <c r="AB36" s="85">
        <v>48928</v>
      </c>
      <c r="AC36" s="40"/>
      <c r="AD36" s="101"/>
      <c r="AE36" s="40">
        <f t="shared" si="25"/>
        <v>0</v>
      </c>
      <c r="AF36" s="40"/>
      <c r="AG36" s="40"/>
      <c r="AH36" s="40">
        <f t="shared" si="26"/>
        <v>0</v>
      </c>
      <c r="AJ36" s="85">
        <v>48928</v>
      </c>
      <c r="AK36" s="40"/>
      <c r="AL36" s="101"/>
      <c r="AM36" s="40">
        <f t="shared" si="27"/>
        <v>0</v>
      </c>
      <c r="AN36" s="40"/>
      <c r="AO36" s="40"/>
      <c r="AP36" s="40">
        <f t="shared" si="28"/>
        <v>0</v>
      </c>
      <c r="AR36" s="85">
        <v>48928</v>
      </c>
      <c r="AS36" s="40"/>
      <c r="AT36" s="101"/>
      <c r="AU36" s="40"/>
      <c r="AV36" s="101"/>
      <c r="AW36" s="40">
        <f t="shared" si="1"/>
        <v>0</v>
      </c>
      <c r="AX36" s="40"/>
      <c r="AY36" s="40"/>
      <c r="AZ36" s="40">
        <f t="shared" si="2"/>
        <v>0</v>
      </c>
      <c r="BB36" s="85">
        <v>48928</v>
      </c>
      <c r="BC36" s="40"/>
      <c r="BD36" s="101"/>
      <c r="BE36" s="40">
        <f t="shared" si="3"/>
        <v>0</v>
      </c>
      <c r="BF36" s="40"/>
      <c r="BG36" s="40">
        <f t="shared" si="4"/>
        <v>0</v>
      </c>
      <c r="BI36" s="85">
        <v>48928</v>
      </c>
      <c r="BJ36" s="40"/>
      <c r="BK36" s="40"/>
      <c r="BL36" s="40"/>
      <c r="BM36" s="40"/>
      <c r="BN36" s="40">
        <v>0</v>
      </c>
      <c r="BP36" s="85">
        <v>48928</v>
      </c>
      <c r="BQ36" s="40"/>
      <c r="BR36" s="40"/>
      <c r="BS36" s="40"/>
      <c r="BT36" s="40"/>
      <c r="BU36" s="40">
        <v>0</v>
      </c>
      <c r="BW36" s="85">
        <v>48928</v>
      </c>
      <c r="BX36" s="40"/>
      <c r="BY36" s="40"/>
      <c r="BZ36" s="40"/>
      <c r="CA36" s="40"/>
      <c r="CB36" s="40">
        <v>0</v>
      </c>
      <c r="CD36" s="85">
        <v>48928</v>
      </c>
      <c r="CE36" s="40"/>
      <c r="CF36" s="40"/>
      <c r="CG36" s="40"/>
      <c r="CH36" s="40">
        <v>0</v>
      </c>
      <c r="CJ36" s="85">
        <v>48928</v>
      </c>
      <c r="CK36" s="40"/>
      <c r="CL36" s="87">
        <v>0</v>
      </c>
      <c r="CM36" s="40">
        <f t="shared" si="29"/>
        <v>2426875</v>
      </c>
      <c r="CN36" s="40">
        <f t="shared" si="32"/>
        <v>2426875</v>
      </c>
      <c r="CP36" s="85">
        <v>48928</v>
      </c>
      <c r="CQ36" s="40"/>
      <c r="CR36" s="87"/>
      <c r="CS36" s="40">
        <f t="shared" si="30"/>
        <v>6345062.5</v>
      </c>
      <c r="CT36" s="40"/>
      <c r="CU36" s="40">
        <f t="shared" si="5"/>
        <v>6345062.5</v>
      </c>
      <c r="CV36" s="151"/>
      <c r="CW36" s="85">
        <v>48928</v>
      </c>
      <c r="CY36" s="40"/>
      <c r="CZ36" s="87"/>
      <c r="DB36" s="40">
        <v>0</v>
      </c>
      <c r="DC36" s="151"/>
      <c r="DD36" s="85">
        <v>48928</v>
      </c>
      <c r="DE36" s="40"/>
      <c r="DF36" s="87"/>
      <c r="DG36" s="40"/>
      <c r="DH36" s="87"/>
      <c r="DI36" s="40"/>
      <c r="DJ36" s="87"/>
      <c r="DK36" s="40"/>
      <c r="DL36" s="87"/>
      <c r="DM36" s="40">
        <f t="shared" si="6"/>
        <v>0</v>
      </c>
      <c r="DN36" s="40"/>
      <c r="DO36" s="40">
        <f t="shared" si="7"/>
        <v>0</v>
      </c>
      <c r="DP36" s="151"/>
      <c r="DQ36" s="85">
        <v>48928</v>
      </c>
      <c r="DR36" s="40"/>
      <c r="DS36" s="87"/>
      <c r="DT36" s="40">
        <f t="shared" si="8"/>
        <v>0</v>
      </c>
      <c r="DU36" s="40">
        <f t="shared" si="9"/>
        <v>0</v>
      </c>
      <c r="DV36" s="151"/>
      <c r="DW36" s="85">
        <v>48928</v>
      </c>
      <c r="DX36" s="40"/>
      <c r="DY36" s="40"/>
      <c r="DZ36" s="40"/>
      <c r="EA36" s="40"/>
      <c r="EB36" s="40">
        <f t="shared" si="10"/>
        <v>0</v>
      </c>
      <c r="EC36" s="40"/>
      <c r="ED36" s="85">
        <v>48928</v>
      </c>
      <c r="EI36" s="40">
        <f t="shared" si="11"/>
        <v>0</v>
      </c>
      <c r="EJ36" s="85"/>
      <c r="EK36" s="85">
        <v>48928</v>
      </c>
      <c r="EQ36" s="85">
        <v>48928</v>
      </c>
      <c r="ES36" s="101"/>
      <c r="ET36" s="40">
        <f t="shared" si="33"/>
        <v>0</v>
      </c>
      <c r="EU36" s="40">
        <f t="shared" si="12"/>
        <v>0</v>
      </c>
      <c r="EW36" s="85">
        <v>48928</v>
      </c>
      <c r="EY36" s="101"/>
      <c r="EZ36" s="40">
        <f t="shared" si="34"/>
        <v>0</v>
      </c>
      <c r="FA36" s="40">
        <f t="shared" si="13"/>
        <v>0</v>
      </c>
      <c r="FC36" s="85">
        <v>48928</v>
      </c>
      <c r="FH36" s="40">
        <f t="shared" si="14"/>
        <v>0</v>
      </c>
      <c r="FJ36" s="85">
        <v>48928</v>
      </c>
      <c r="FO36" s="40">
        <f t="shared" si="15"/>
        <v>0</v>
      </c>
      <c r="FQ36" s="85">
        <v>48928</v>
      </c>
      <c r="FV36" s="40">
        <f t="shared" si="16"/>
        <v>0</v>
      </c>
      <c r="FX36" s="85">
        <v>48928</v>
      </c>
      <c r="GC36" s="40">
        <f t="shared" si="17"/>
        <v>0</v>
      </c>
    </row>
    <row r="37" spans="2:185" x14ac:dyDescent="0.25">
      <c r="B37" s="85">
        <v>49125</v>
      </c>
      <c r="C37" s="85"/>
      <c r="D37" s="85">
        <v>49110</v>
      </c>
      <c r="E37" s="40">
        <f t="shared" si="18"/>
        <v>0</v>
      </c>
      <c r="F37" s="40">
        <f t="shared" si="19"/>
        <v>8771937.5</v>
      </c>
      <c r="G37" s="40">
        <f t="shared" si="20"/>
        <v>0</v>
      </c>
      <c r="H37" s="40">
        <v>0</v>
      </c>
      <c r="I37" s="40">
        <f t="shared" si="21"/>
        <v>8771937.5</v>
      </c>
      <c r="J37" s="40">
        <f>SUM(I36:I37)</f>
        <v>17543875</v>
      </c>
      <c r="L37" s="85">
        <v>49110</v>
      </c>
      <c r="M37" s="40"/>
      <c r="N37" s="101"/>
      <c r="O37" s="40">
        <f t="shared" si="37"/>
        <v>0</v>
      </c>
      <c r="P37" s="40"/>
      <c r="Q37" s="40"/>
      <c r="R37" s="40">
        <f t="shared" si="22"/>
        <v>0</v>
      </c>
      <c r="T37" s="85">
        <v>49110</v>
      </c>
      <c r="U37" s="40"/>
      <c r="V37" s="101"/>
      <c r="W37" s="40">
        <f t="shared" si="23"/>
        <v>0</v>
      </c>
      <c r="X37" s="40"/>
      <c r="Y37" s="40"/>
      <c r="Z37" s="40">
        <f t="shared" si="24"/>
        <v>0</v>
      </c>
      <c r="AB37" s="85">
        <v>49110</v>
      </c>
      <c r="AC37" s="40"/>
      <c r="AD37" s="101"/>
      <c r="AE37" s="40">
        <f t="shared" si="25"/>
        <v>0</v>
      </c>
      <c r="AF37" s="40"/>
      <c r="AG37" s="40"/>
      <c r="AH37" s="40">
        <f t="shared" si="26"/>
        <v>0</v>
      </c>
      <c r="AJ37" s="85">
        <v>49110</v>
      </c>
      <c r="AK37" s="40"/>
      <c r="AL37" s="101"/>
      <c r="AM37" s="40">
        <f t="shared" si="27"/>
        <v>0</v>
      </c>
      <c r="AN37" s="40"/>
      <c r="AO37" s="40"/>
      <c r="AP37" s="40">
        <f t="shared" si="28"/>
        <v>0</v>
      </c>
      <c r="AR37" s="85">
        <v>49110</v>
      </c>
      <c r="AS37" s="40"/>
      <c r="AT37" s="101"/>
      <c r="AU37" s="40"/>
      <c r="AV37" s="101"/>
      <c r="AW37" s="40">
        <f t="shared" si="1"/>
        <v>0</v>
      </c>
      <c r="AX37" s="40"/>
      <c r="AY37" s="40"/>
      <c r="AZ37" s="40">
        <f t="shared" si="2"/>
        <v>0</v>
      </c>
      <c r="BB37" s="85">
        <v>49110</v>
      </c>
      <c r="BC37" s="40"/>
      <c r="BD37" s="101"/>
      <c r="BE37" s="40">
        <f t="shared" si="3"/>
        <v>0</v>
      </c>
      <c r="BF37" s="40"/>
      <c r="BG37" s="40">
        <f t="shared" si="4"/>
        <v>0</v>
      </c>
      <c r="BI37" s="85">
        <v>49110</v>
      </c>
      <c r="BJ37" s="40"/>
      <c r="BK37" s="40"/>
      <c r="BL37" s="40"/>
      <c r="BM37" s="40"/>
      <c r="BN37" s="40">
        <v>0</v>
      </c>
      <c r="BP37" s="85">
        <v>49110</v>
      </c>
      <c r="BQ37" s="40"/>
      <c r="BR37" s="40"/>
      <c r="BS37" s="40"/>
      <c r="BT37" s="40"/>
      <c r="BU37" s="40">
        <v>0</v>
      </c>
      <c r="BW37" s="85">
        <v>49110</v>
      </c>
      <c r="BX37" s="40"/>
      <c r="BY37" s="40"/>
      <c r="BZ37" s="40"/>
      <c r="CA37" s="40"/>
      <c r="CB37" s="40">
        <v>0</v>
      </c>
      <c r="CD37" s="85">
        <v>49110</v>
      </c>
      <c r="CE37" s="40"/>
      <c r="CF37" s="40"/>
      <c r="CG37" s="40"/>
      <c r="CH37" s="40">
        <v>0</v>
      </c>
      <c r="CJ37" s="85">
        <v>49110</v>
      </c>
      <c r="CK37" s="40"/>
      <c r="CL37" s="87">
        <v>0</v>
      </c>
      <c r="CM37" s="40">
        <f t="shared" si="29"/>
        <v>2426875</v>
      </c>
      <c r="CN37" s="40">
        <f t="shared" si="32"/>
        <v>2426875</v>
      </c>
      <c r="CP37" s="85">
        <v>49110</v>
      </c>
      <c r="CQ37" s="40"/>
      <c r="CR37" s="87"/>
      <c r="CS37" s="40">
        <f t="shared" si="30"/>
        <v>6345062.5</v>
      </c>
      <c r="CT37" s="40"/>
      <c r="CU37" s="40">
        <f t="shared" si="5"/>
        <v>6345062.5</v>
      </c>
      <c r="CV37" s="151"/>
      <c r="CW37" s="85">
        <v>49110</v>
      </c>
      <c r="CY37" s="40"/>
      <c r="CZ37" s="87"/>
      <c r="DB37" s="40">
        <v>0</v>
      </c>
      <c r="DC37" s="151"/>
      <c r="DD37" s="85">
        <v>49110</v>
      </c>
      <c r="DE37" s="40"/>
      <c r="DF37" s="87"/>
      <c r="DG37" s="40"/>
      <c r="DH37" s="87"/>
      <c r="DI37" s="40"/>
      <c r="DJ37" s="87"/>
      <c r="DK37" s="40"/>
      <c r="DL37" s="87"/>
      <c r="DM37" s="40">
        <f t="shared" si="6"/>
        <v>0</v>
      </c>
      <c r="DN37" s="40"/>
      <c r="DO37" s="40">
        <f t="shared" si="7"/>
        <v>0</v>
      </c>
      <c r="DP37" s="151"/>
      <c r="DQ37" s="85">
        <v>49110</v>
      </c>
      <c r="DR37" s="40"/>
      <c r="DS37" s="87"/>
      <c r="DT37" s="40">
        <f t="shared" si="8"/>
        <v>0</v>
      </c>
      <c r="DU37" s="40">
        <f t="shared" si="9"/>
        <v>0</v>
      </c>
      <c r="DV37" s="151"/>
      <c r="DW37" s="85">
        <v>49110</v>
      </c>
      <c r="DX37" s="40"/>
      <c r="DY37" s="40"/>
      <c r="DZ37" s="40"/>
      <c r="EA37" s="40"/>
      <c r="EB37" s="40">
        <f t="shared" si="10"/>
        <v>0</v>
      </c>
      <c r="EC37" s="40"/>
      <c r="ED37" s="85">
        <v>49110</v>
      </c>
      <c r="EI37" s="40">
        <f t="shared" si="11"/>
        <v>0</v>
      </c>
      <c r="EJ37" s="85"/>
      <c r="EK37" s="85">
        <v>49110</v>
      </c>
      <c r="EQ37" s="85">
        <v>49110</v>
      </c>
      <c r="ES37" s="101"/>
      <c r="ET37" s="40">
        <f t="shared" si="33"/>
        <v>0</v>
      </c>
      <c r="EU37" s="40">
        <f t="shared" si="12"/>
        <v>0</v>
      </c>
      <c r="EW37" s="85">
        <v>49110</v>
      </c>
      <c r="EY37" s="101"/>
      <c r="EZ37" s="40">
        <f t="shared" si="34"/>
        <v>0</v>
      </c>
      <c r="FA37" s="40">
        <f t="shared" si="13"/>
        <v>0</v>
      </c>
      <c r="FC37" s="85">
        <v>49110</v>
      </c>
      <c r="FH37" s="40">
        <f t="shared" si="14"/>
        <v>0</v>
      </c>
      <c r="FJ37" s="85">
        <v>49110</v>
      </c>
      <c r="FO37" s="40">
        <f t="shared" si="15"/>
        <v>0</v>
      </c>
      <c r="FQ37" s="85">
        <v>49110</v>
      </c>
      <c r="FV37" s="40">
        <f t="shared" si="16"/>
        <v>0</v>
      </c>
      <c r="FX37" s="85">
        <v>49110</v>
      </c>
      <c r="GC37" s="40">
        <f t="shared" si="17"/>
        <v>0</v>
      </c>
    </row>
    <row r="38" spans="2:185" x14ac:dyDescent="0.25">
      <c r="B38" s="85">
        <v>49309</v>
      </c>
      <c r="C38" s="85"/>
      <c r="D38" s="85">
        <v>49293</v>
      </c>
      <c r="E38" s="40">
        <f t="shared" si="18"/>
        <v>0</v>
      </c>
      <c r="F38" s="40">
        <f t="shared" si="19"/>
        <v>8771937.5</v>
      </c>
      <c r="G38" s="40">
        <f t="shared" si="20"/>
        <v>0</v>
      </c>
      <c r="H38" s="40">
        <v>0</v>
      </c>
      <c r="I38" s="40">
        <f t="shared" si="21"/>
        <v>8771937.5</v>
      </c>
      <c r="J38" s="40"/>
      <c r="L38" s="85">
        <v>49293</v>
      </c>
      <c r="M38" s="40"/>
      <c r="N38" s="101"/>
      <c r="O38" s="40">
        <f t="shared" si="37"/>
        <v>0</v>
      </c>
      <c r="P38" s="40"/>
      <c r="Q38" s="40"/>
      <c r="R38" s="40">
        <f t="shared" si="22"/>
        <v>0</v>
      </c>
      <c r="T38" s="85">
        <v>49293</v>
      </c>
      <c r="U38" s="40"/>
      <c r="V38" s="101"/>
      <c r="W38" s="40">
        <f t="shared" si="23"/>
        <v>0</v>
      </c>
      <c r="X38" s="40"/>
      <c r="Y38" s="40"/>
      <c r="Z38" s="40">
        <f t="shared" si="24"/>
        <v>0</v>
      </c>
      <c r="AB38" s="85">
        <v>49293</v>
      </c>
      <c r="AC38" s="40"/>
      <c r="AD38" s="101"/>
      <c r="AE38" s="40">
        <f t="shared" si="25"/>
        <v>0</v>
      </c>
      <c r="AF38" s="40"/>
      <c r="AG38" s="40"/>
      <c r="AH38" s="40">
        <f t="shared" si="26"/>
        <v>0</v>
      </c>
      <c r="AJ38" s="85">
        <v>49293</v>
      </c>
      <c r="AK38" s="40"/>
      <c r="AL38" s="101"/>
      <c r="AM38" s="40">
        <f t="shared" si="27"/>
        <v>0</v>
      </c>
      <c r="AN38" s="40"/>
      <c r="AO38" s="40"/>
      <c r="AP38" s="40">
        <f t="shared" si="28"/>
        <v>0</v>
      </c>
      <c r="AR38" s="85">
        <v>49293</v>
      </c>
      <c r="AS38" s="40"/>
      <c r="AT38" s="101"/>
      <c r="AU38" s="40"/>
      <c r="AV38" s="101"/>
      <c r="AW38" s="40">
        <f t="shared" si="1"/>
        <v>0</v>
      </c>
      <c r="AX38" s="40"/>
      <c r="AY38" s="40"/>
      <c r="AZ38" s="40">
        <f t="shared" si="2"/>
        <v>0</v>
      </c>
      <c r="BB38" s="85">
        <v>49293</v>
      </c>
      <c r="BC38" s="40"/>
      <c r="BD38" s="101"/>
      <c r="BE38" s="40">
        <f t="shared" si="3"/>
        <v>0</v>
      </c>
      <c r="BF38" s="40"/>
      <c r="BG38" s="40">
        <f t="shared" si="4"/>
        <v>0</v>
      </c>
      <c r="BI38" s="85">
        <v>49293</v>
      </c>
      <c r="BJ38" s="40"/>
      <c r="BK38" s="40"/>
      <c r="BL38" s="40"/>
      <c r="BM38" s="40"/>
      <c r="BN38" s="40">
        <v>0</v>
      </c>
      <c r="BP38" s="85">
        <v>49293</v>
      </c>
      <c r="BQ38" s="40"/>
      <c r="BR38" s="40"/>
      <c r="BS38" s="40"/>
      <c r="BT38" s="40"/>
      <c r="BU38" s="40">
        <v>0</v>
      </c>
      <c r="BW38" s="85">
        <v>49293</v>
      </c>
      <c r="BX38" s="40"/>
      <c r="BY38" s="40"/>
      <c r="BZ38" s="40"/>
      <c r="CA38" s="40"/>
      <c r="CB38" s="40">
        <v>0</v>
      </c>
      <c r="CD38" s="85">
        <v>49293</v>
      </c>
      <c r="CE38" s="40"/>
      <c r="CF38" s="40"/>
      <c r="CG38" s="40"/>
      <c r="CH38" s="40">
        <v>0</v>
      </c>
      <c r="CJ38" s="85">
        <v>49293</v>
      </c>
      <c r="CK38" s="40"/>
      <c r="CL38" s="87">
        <v>0</v>
      </c>
      <c r="CM38" s="40">
        <f t="shared" si="29"/>
        <v>2426875</v>
      </c>
      <c r="CN38" s="40">
        <f t="shared" si="32"/>
        <v>2426875</v>
      </c>
      <c r="CP38" s="85">
        <v>49293</v>
      </c>
      <c r="CQ38" s="40"/>
      <c r="CR38" s="87"/>
      <c r="CS38" s="40">
        <f t="shared" si="30"/>
        <v>6345062.5</v>
      </c>
      <c r="CT38" s="40"/>
      <c r="CU38" s="40">
        <f t="shared" si="5"/>
        <v>6345062.5</v>
      </c>
      <c r="CV38" s="151"/>
      <c r="CW38" s="85">
        <v>49293</v>
      </c>
      <c r="CY38" s="40"/>
      <c r="CZ38" s="87"/>
      <c r="DB38" s="40">
        <v>0</v>
      </c>
      <c r="DC38" s="151"/>
      <c r="DD38" s="85">
        <v>49293</v>
      </c>
      <c r="DE38" s="40"/>
      <c r="DF38" s="87"/>
      <c r="DG38" s="40"/>
      <c r="DH38" s="87"/>
      <c r="DI38" s="40"/>
      <c r="DJ38" s="87"/>
      <c r="DK38" s="40"/>
      <c r="DL38" s="87"/>
      <c r="DM38" s="40">
        <f t="shared" si="6"/>
        <v>0</v>
      </c>
      <c r="DN38" s="40"/>
      <c r="DO38" s="40">
        <f t="shared" si="7"/>
        <v>0</v>
      </c>
      <c r="DP38" s="151"/>
      <c r="DQ38" s="85">
        <v>49293</v>
      </c>
      <c r="DR38" s="40"/>
      <c r="DS38" s="87"/>
      <c r="DT38" s="40">
        <f t="shared" si="8"/>
        <v>0</v>
      </c>
      <c r="DU38" s="40">
        <f t="shared" si="9"/>
        <v>0</v>
      </c>
      <c r="DV38" s="151"/>
      <c r="DW38" s="85">
        <v>49293</v>
      </c>
      <c r="DX38" s="40"/>
      <c r="DY38" s="40"/>
      <c r="DZ38" s="40"/>
      <c r="EA38" s="40"/>
      <c r="EB38" s="40">
        <f t="shared" si="10"/>
        <v>0</v>
      </c>
      <c r="EC38" s="40"/>
      <c r="ED38" s="85">
        <v>49293</v>
      </c>
      <c r="EI38" s="40">
        <f t="shared" si="11"/>
        <v>0</v>
      </c>
      <c r="EJ38" s="85"/>
      <c r="EK38" s="85">
        <v>49293</v>
      </c>
      <c r="EQ38" s="85">
        <v>49293</v>
      </c>
      <c r="ES38" s="101"/>
      <c r="ET38" s="40">
        <f t="shared" si="33"/>
        <v>0</v>
      </c>
      <c r="EU38" s="40">
        <f t="shared" si="12"/>
        <v>0</v>
      </c>
      <c r="EW38" s="85">
        <v>49293</v>
      </c>
      <c r="EY38" s="101"/>
      <c r="EZ38" s="40">
        <f t="shared" si="34"/>
        <v>0</v>
      </c>
      <c r="FA38" s="40">
        <f t="shared" si="13"/>
        <v>0</v>
      </c>
      <c r="FC38" s="85">
        <v>49293</v>
      </c>
      <c r="FH38" s="40">
        <f t="shared" si="14"/>
        <v>0</v>
      </c>
      <c r="FJ38" s="85">
        <v>49293</v>
      </c>
      <c r="FO38" s="40">
        <f t="shared" si="15"/>
        <v>0</v>
      </c>
      <c r="FQ38" s="85">
        <v>49293</v>
      </c>
      <c r="FV38" s="40">
        <f t="shared" si="16"/>
        <v>0</v>
      </c>
      <c r="FX38" s="85">
        <v>49293</v>
      </c>
      <c r="GC38" s="40">
        <f t="shared" si="17"/>
        <v>0</v>
      </c>
    </row>
    <row r="39" spans="2:185" x14ac:dyDescent="0.25">
      <c r="B39" s="85">
        <v>49490</v>
      </c>
      <c r="C39" s="85"/>
      <c r="D39" s="85">
        <v>49475</v>
      </c>
      <c r="E39" s="40">
        <f t="shared" si="18"/>
        <v>0</v>
      </c>
      <c r="F39" s="40">
        <f t="shared" si="19"/>
        <v>8771937.5</v>
      </c>
      <c r="G39" s="40">
        <f t="shared" si="20"/>
        <v>0</v>
      </c>
      <c r="H39" s="40">
        <v>0</v>
      </c>
      <c r="I39" s="40">
        <f t="shared" si="21"/>
        <v>8771937.5</v>
      </c>
      <c r="J39" s="40">
        <f>SUM(I38:I39)</f>
        <v>17543875</v>
      </c>
      <c r="L39" s="85">
        <v>49475</v>
      </c>
      <c r="M39" s="40"/>
      <c r="N39" s="101"/>
      <c r="O39" s="40">
        <f t="shared" si="37"/>
        <v>0</v>
      </c>
      <c r="P39" s="40"/>
      <c r="Q39" s="40"/>
      <c r="R39" s="40">
        <f t="shared" si="22"/>
        <v>0</v>
      </c>
      <c r="T39" s="85">
        <v>49475</v>
      </c>
      <c r="U39" s="40"/>
      <c r="V39" s="101"/>
      <c r="W39" s="40">
        <f t="shared" si="23"/>
        <v>0</v>
      </c>
      <c r="X39" s="40"/>
      <c r="Y39" s="40"/>
      <c r="Z39" s="40">
        <f t="shared" si="24"/>
        <v>0</v>
      </c>
      <c r="AB39" s="85">
        <v>49475</v>
      </c>
      <c r="AC39" s="40"/>
      <c r="AD39" s="101"/>
      <c r="AE39" s="40">
        <f t="shared" si="25"/>
        <v>0</v>
      </c>
      <c r="AF39" s="40"/>
      <c r="AG39" s="40"/>
      <c r="AH39" s="40">
        <f t="shared" si="26"/>
        <v>0</v>
      </c>
      <c r="AJ39" s="85">
        <v>49475</v>
      </c>
      <c r="AK39" s="40"/>
      <c r="AL39" s="101"/>
      <c r="AM39" s="40">
        <f t="shared" si="27"/>
        <v>0</v>
      </c>
      <c r="AN39" s="40"/>
      <c r="AO39" s="40"/>
      <c r="AP39" s="40">
        <f t="shared" si="28"/>
        <v>0</v>
      </c>
      <c r="AR39" s="85">
        <v>49475</v>
      </c>
      <c r="AS39" s="40"/>
      <c r="AT39" s="101"/>
      <c r="AU39" s="40"/>
      <c r="AV39" s="101"/>
      <c r="AW39" s="40">
        <f t="shared" si="1"/>
        <v>0</v>
      </c>
      <c r="AX39" s="40"/>
      <c r="AY39" s="40"/>
      <c r="AZ39" s="40">
        <f t="shared" si="2"/>
        <v>0</v>
      </c>
      <c r="BB39" s="85">
        <v>49475</v>
      </c>
      <c r="BC39" s="40"/>
      <c r="BD39" s="101"/>
      <c r="BE39" s="40">
        <f t="shared" si="3"/>
        <v>0</v>
      </c>
      <c r="BF39" s="40"/>
      <c r="BG39" s="40">
        <f t="shared" si="4"/>
        <v>0</v>
      </c>
      <c r="BI39" s="85">
        <v>49475</v>
      </c>
      <c r="BJ39" s="40"/>
      <c r="BK39" s="40"/>
      <c r="BL39" s="40"/>
      <c r="BM39" s="40"/>
      <c r="BN39" s="40">
        <v>0</v>
      </c>
      <c r="BP39" s="85">
        <v>49475</v>
      </c>
      <c r="BQ39" s="40"/>
      <c r="BR39" s="40"/>
      <c r="BS39" s="40"/>
      <c r="BT39" s="40"/>
      <c r="BU39" s="40">
        <v>0</v>
      </c>
      <c r="BW39" s="85">
        <v>49475</v>
      </c>
      <c r="BX39" s="40"/>
      <c r="BY39" s="40"/>
      <c r="BZ39" s="40"/>
      <c r="CA39" s="40"/>
      <c r="CB39" s="40">
        <v>0</v>
      </c>
      <c r="CD39" s="85">
        <v>49475</v>
      </c>
      <c r="CE39" s="40"/>
      <c r="CF39" s="40"/>
      <c r="CG39" s="40"/>
      <c r="CH39" s="40">
        <v>0</v>
      </c>
      <c r="CJ39" s="85">
        <v>49475</v>
      </c>
      <c r="CK39" s="40"/>
      <c r="CL39" s="87">
        <v>0</v>
      </c>
      <c r="CM39" s="40">
        <f t="shared" si="29"/>
        <v>2426875</v>
      </c>
      <c r="CN39" s="40">
        <f t="shared" si="32"/>
        <v>2426875</v>
      </c>
      <c r="CP39" s="85">
        <v>49475</v>
      </c>
      <c r="CQ39" s="40"/>
      <c r="CR39" s="87"/>
      <c r="CS39" s="40">
        <f t="shared" si="30"/>
        <v>6345062.5</v>
      </c>
      <c r="CT39" s="40"/>
      <c r="CU39" s="40">
        <f t="shared" si="5"/>
        <v>6345062.5</v>
      </c>
      <c r="CV39" s="151"/>
      <c r="CW39" s="85">
        <v>49475</v>
      </c>
      <c r="CY39" s="40"/>
      <c r="CZ39" s="87"/>
      <c r="DB39" s="40">
        <v>0</v>
      </c>
      <c r="DC39" s="151"/>
      <c r="DD39" s="85">
        <v>49475</v>
      </c>
      <c r="DE39" s="40"/>
      <c r="DF39" s="87"/>
      <c r="DG39" s="40"/>
      <c r="DH39" s="87"/>
      <c r="DI39" s="40"/>
      <c r="DJ39" s="87"/>
      <c r="DK39" s="40"/>
      <c r="DL39" s="87"/>
      <c r="DM39" s="40">
        <f t="shared" si="6"/>
        <v>0</v>
      </c>
      <c r="DN39" s="40"/>
      <c r="DO39" s="40">
        <f t="shared" si="7"/>
        <v>0</v>
      </c>
      <c r="DP39" s="151"/>
      <c r="DQ39" s="85">
        <v>49475</v>
      </c>
      <c r="DR39" s="40"/>
      <c r="DS39" s="87"/>
      <c r="DT39" s="40">
        <f t="shared" si="8"/>
        <v>0</v>
      </c>
      <c r="DU39" s="40">
        <f t="shared" si="9"/>
        <v>0</v>
      </c>
      <c r="DV39" s="151"/>
      <c r="DW39" s="85">
        <v>49475</v>
      </c>
      <c r="DX39" s="40"/>
      <c r="DY39" s="40"/>
      <c r="DZ39" s="40"/>
      <c r="EA39" s="40"/>
      <c r="EB39" s="40">
        <f t="shared" si="10"/>
        <v>0</v>
      </c>
      <c r="EC39" s="40"/>
      <c r="ED39" s="85">
        <v>49475</v>
      </c>
      <c r="EI39" s="40">
        <f t="shared" si="11"/>
        <v>0</v>
      </c>
      <c r="EJ39" s="85"/>
      <c r="EK39" s="85">
        <v>49475</v>
      </c>
      <c r="EQ39" s="85">
        <v>49475</v>
      </c>
      <c r="ES39" s="101"/>
      <c r="ET39" s="40">
        <f t="shared" si="33"/>
        <v>0</v>
      </c>
      <c r="EU39" s="40">
        <f t="shared" si="12"/>
        <v>0</v>
      </c>
      <c r="EW39" s="85">
        <v>49475</v>
      </c>
      <c r="EY39" s="101"/>
      <c r="EZ39" s="40">
        <f t="shared" si="34"/>
        <v>0</v>
      </c>
      <c r="FA39" s="40">
        <f t="shared" si="13"/>
        <v>0</v>
      </c>
      <c r="FC39" s="85">
        <v>49475</v>
      </c>
      <c r="FH39" s="40">
        <f t="shared" si="14"/>
        <v>0</v>
      </c>
      <c r="FJ39" s="85">
        <v>49475</v>
      </c>
      <c r="FO39" s="40">
        <f t="shared" si="15"/>
        <v>0</v>
      </c>
      <c r="FQ39" s="85">
        <v>49475</v>
      </c>
      <c r="FV39" s="40">
        <f t="shared" si="16"/>
        <v>0</v>
      </c>
      <c r="FX39" s="85">
        <v>49475</v>
      </c>
      <c r="GC39" s="40">
        <f t="shared" si="17"/>
        <v>0</v>
      </c>
    </row>
    <row r="40" spans="2:185" x14ac:dyDescent="0.25">
      <c r="B40" s="85">
        <v>49674</v>
      </c>
      <c r="C40" s="85"/>
      <c r="D40" s="85">
        <v>49658</v>
      </c>
      <c r="E40" s="40">
        <f t="shared" si="18"/>
        <v>0</v>
      </c>
      <c r="F40" s="40">
        <f t="shared" si="19"/>
        <v>8771937.5</v>
      </c>
      <c r="G40" s="40">
        <f t="shared" si="20"/>
        <v>0</v>
      </c>
      <c r="H40" s="40">
        <v>0</v>
      </c>
      <c r="I40" s="40">
        <f t="shared" si="21"/>
        <v>8771937.5</v>
      </c>
      <c r="J40" s="40"/>
      <c r="L40" s="85">
        <v>49658</v>
      </c>
      <c r="M40" s="40"/>
      <c r="N40" s="101"/>
      <c r="O40" s="40">
        <f t="shared" si="37"/>
        <v>0</v>
      </c>
      <c r="P40" s="40"/>
      <c r="Q40" s="40"/>
      <c r="R40" s="40">
        <f t="shared" si="22"/>
        <v>0</v>
      </c>
      <c r="T40" s="85">
        <v>49658</v>
      </c>
      <c r="U40" s="40"/>
      <c r="V40" s="101"/>
      <c r="W40" s="40">
        <f t="shared" si="23"/>
        <v>0</v>
      </c>
      <c r="X40" s="40"/>
      <c r="Y40" s="40"/>
      <c r="Z40" s="40">
        <f t="shared" si="24"/>
        <v>0</v>
      </c>
      <c r="AB40" s="85">
        <v>49658</v>
      </c>
      <c r="AC40" s="40"/>
      <c r="AD40" s="101"/>
      <c r="AE40" s="40">
        <f t="shared" si="25"/>
        <v>0</v>
      </c>
      <c r="AF40" s="40"/>
      <c r="AG40" s="40"/>
      <c r="AH40" s="40">
        <f t="shared" si="26"/>
        <v>0</v>
      </c>
      <c r="AJ40" s="85">
        <v>49658</v>
      </c>
      <c r="AK40" s="40"/>
      <c r="AL40" s="101"/>
      <c r="AM40" s="40">
        <f t="shared" si="27"/>
        <v>0</v>
      </c>
      <c r="AN40" s="40"/>
      <c r="AO40" s="40"/>
      <c r="AP40" s="40">
        <f t="shared" si="28"/>
        <v>0</v>
      </c>
      <c r="AR40" s="85">
        <v>49658</v>
      </c>
      <c r="AS40" s="40"/>
      <c r="AT40" s="101"/>
      <c r="AU40" s="40"/>
      <c r="AV40" s="101"/>
      <c r="AW40" s="40">
        <f t="shared" si="1"/>
        <v>0</v>
      </c>
      <c r="AX40" s="40"/>
      <c r="AY40" s="40"/>
      <c r="AZ40" s="40">
        <f t="shared" si="2"/>
        <v>0</v>
      </c>
      <c r="BB40" s="85">
        <v>49658</v>
      </c>
      <c r="BC40" s="40"/>
      <c r="BD40" s="101"/>
      <c r="BE40" s="40">
        <f t="shared" si="3"/>
        <v>0</v>
      </c>
      <c r="BF40" s="40"/>
      <c r="BG40" s="40">
        <f t="shared" si="4"/>
        <v>0</v>
      </c>
      <c r="BI40" s="85">
        <v>49658</v>
      </c>
      <c r="BJ40" s="40"/>
      <c r="BK40" s="40"/>
      <c r="BL40" s="40"/>
      <c r="BM40" s="40"/>
      <c r="BN40" s="40">
        <v>0</v>
      </c>
      <c r="BP40" s="85">
        <v>49658</v>
      </c>
      <c r="BQ40" s="40"/>
      <c r="BR40" s="40"/>
      <c r="BS40" s="40"/>
      <c r="BT40" s="40"/>
      <c r="BU40" s="40">
        <v>0</v>
      </c>
      <c r="BW40" s="85">
        <v>49658</v>
      </c>
      <c r="BX40" s="40"/>
      <c r="BY40" s="40"/>
      <c r="BZ40" s="40"/>
      <c r="CA40" s="40"/>
      <c r="CB40" s="40">
        <v>0</v>
      </c>
      <c r="CD40" s="85">
        <v>49658</v>
      </c>
      <c r="CE40" s="40"/>
      <c r="CF40" s="40"/>
      <c r="CG40" s="40"/>
      <c r="CH40" s="40">
        <v>0</v>
      </c>
      <c r="CJ40" s="85">
        <v>49658</v>
      </c>
      <c r="CK40" s="40"/>
      <c r="CL40" s="87">
        <v>0</v>
      </c>
      <c r="CM40" s="40">
        <f t="shared" si="29"/>
        <v>2426875</v>
      </c>
      <c r="CN40" s="40">
        <f t="shared" si="32"/>
        <v>2426875</v>
      </c>
      <c r="CP40" s="85">
        <v>49658</v>
      </c>
      <c r="CQ40" s="40"/>
      <c r="CR40" s="87"/>
      <c r="CS40" s="40">
        <f t="shared" si="30"/>
        <v>6345062.5</v>
      </c>
      <c r="CT40" s="40"/>
      <c r="CU40" s="40">
        <f t="shared" si="5"/>
        <v>6345062.5</v>
      </c>
      <c r="CV40" s="151"/>
      <c r="CW40" s="85">
        <v>49658</v>
      </c>
      <c r="CY40" s="40"/>
      <c r="CZ40" s="87"/>
      <c r="DB40" s="40">
        <v>0</v>
      </c>
      <c r="DC40" s="151"/>
      <c r="DD40" s="85">
        <v>49658</v>
      </c>
      <c r="DE40" s="40"/>
      <c r="DF40" s="87"/>
      <c r="DG40" s="40"/>
      <c r="DH40" s="87"/>
      <c r="DI40" s="40"/>
      <c r="DJ40" s="87"/>
      <c r="DK40" s="40"/>
      <c r="DL40" s="87"/>
      <c r="DM40" s="40">
        <f t="shared" si="6"/>
        <v>0</v>
      </c>
      <c r="DN40" s="40"/>
      <c r="DO40" s="40">
        <f t="shared" si="7"/>
        <v>0</v>
      </c>
      <c r="DP40" s="151"/>
      <c r="DQ40" s="85">
        <v>49658</v>
      </c>
      <c r="DR40" s="40"/>
      <c r="DS40" s="87"/>
      <c r="DT40" s="40">
        <f t="shared" si="8"/>
        <v>0</v>
      </c>
      <c r="DU40" s="40">
        <f t="shared" si="9"/>
        <v>0</v>
      </c>
      <c r="DV40" s="151"/>
      <c r="DW40" s="85">
        <v>49658</v>
      </c>
      <c r="DX40" s="40"/>
      <c r="DY40" s="40"/>
      <c r="DZ40" s="40"/>
      <c r="EA40" s="40"/>
      <c r="EB40" s="40">
        <f t="shared" si="10"/>
        <v>0</v>
      </c>
      <c r="EC40" s="40"/>
      <c r="ED40" s="85">
        <v>49658</v>
      </c>
      <c r="EI40" s="40">
        <f t="shared" si="11"/>
        <v>0</v>
      </c>
      <c r="EJ40" s="85"/>
      <c r="EK40" s="85">
        <v>49658</v>
      </c>
      <c r="EQ40" s="85">
        <v>49658</v>
      </c>
      <c r="ES40" s="101"/>
      <c r="ET40" s="40">
        <f t="shared" si="33"/>
        <v>0</v>
      </c>
      <c r="EU40" s="40">
        <f t="shared" si="12"/>
        <v>0</v>
      </c>
      <c r="EW40" s="85">
        <v>49658</v>
      </c>
      <c r="EY40" s="101"/>
      <c r="EZ40" s="40">
        <f t="shared" si="34"/>
        <v>0</v>
      </c>
      <c r="FA40" s="40">
        <f t="shared" si="13"/>
        <v>0</v>
      </c>
      <c r="FC40" s="85">
        <v>49658</v>
      </c>
      <c r="FH40" s="40">
        <f t="shared" si="14"/>
        <v>0</v>
      </c>
      <c r="FJ40" s="85">
        <v>49658</v>
      </c>
      <c r="FO40" s="40">
        <f t="shared" si="15"/>
        <v>0</v>
      </c>
      <c r="FQ40" s="85">
        <v>49658</v>
      </c>
      <c r="FV40" s="40">
        <f t="shared" si="16"/>
        <v>0</v>
      </c>
      <c r="FX40" s="85">
        <v>49658</v>
      </c>
      <c r="GC40" s="40">
        <f t="shared" si="17"/>
        <v>0</v>
      </c>
    </row>
    <row r="41" spans="2:185" x14ac:dyDescent="0.25">
      <c r="B41" s="85">
        <v>49856</v>
      </c>
      <c r="C41" s="85"/>
      <c r="D41" s="85">
        <v>49841</v>
      </c>
      <c r="E41" s="40">
        <f t="shared" si="18"/>
        <v>0</v>
      </c>
      <c r="F41" s="40">
        <f t="shared" si="19"/>
        <v>8771937.5</v>
      </c>
      <c r="G41" s="40">
        <f t="shared" si="20"/>
        <v>0</v>
      </c>
      <c r="H41" s="40">
        <v>0</v>
      </c>
      <c r="I41" s="40">
        <f t="shared" si="21"/>
        <v>8771937.5</v>
      </c>
      <c r="J41" s="40">
        <f>SUM(I40:I41)</f>
        <v>17543875</v>
      </c>
      <c r="L41" s="85">
        <v>49841</v>
      </c>
      <c r="M41" s="40"/>
      <c r="N41" s="101"/>
      <c r="O41" s="40">
        <f t="shared" si="37"/>
        <v>0</v>
      </c>
      <c r="P41" s="40"/>
      <c r="Q41" s="40"/>
      <c r="R41" s="40">
        <f t="shared" si="22"/>
        <v>0</v>
      </c>
      <c r="T41" s="85">
        <v>49841</v>
      </c>
      <c r="U41" s="40"/>
      <c r="V41" s="101"/>
      <c r="W41" s="40">
        <f t="shared" si="23"/>
        <v>0</v>
      </c>
      <c r="X41" s="40"/>
      <c r="Y41" s="40"/>
      <c r="Z41" s="40">
        <f t="shared" si="24"/>
        <v>0</v>
      </c>
      <c r="AB41" s="85">
        <v>49841</v>
      </c>
      <c r="AC41" s="40"/>
      <c r="AD41" s="101"/>
      <c r="AE41" s="40">
        <f t="shared" si="25"/>
        <v>0</v>
      </c>
      <c r="AF41" s="40"/>
      <c r="AG41" s="40"/>
      <c r="AH41" s="40">
        <f t="shared" si="26"/>
        <v>0</v>
      </c>
      <c r="AJ41" s="85">
        <v>49841</v>
      </c>
      <c r="AK41" s="40"/>
      <c r="AL41" s="101"/>
      <c r="AM41" s="40">
        <f t="shared" si="27"/>
        <v>0</v>
      </c>
      <c r="AN41" s="40"/>
      <c r="AO41" s="40"/>
      <c r="AP41" s="40">
        <f t="shared" si="28"/>
        <v>0</v>
      </c>
      <c r="AR41" s="85">
        <v>49841</v>
      </c>
      <c r="AS41" s="40"/>
      <c r="AT41" s="101"/>
      <c r="AU41" s="40"/>
      <c r="AV41" s="101"/>
      <c r="AW41" s="40">
        <f t="shared" si="1"/>
        <v>0</v>
      </c>
      <c r="AX41" s="40"/>
      <c r="AY41" s="40"/>
      <c r="AZ41" s="40">
        <f t="shared" si="2"/>
        <v>0</v>
      </c>
      <c r="BB41" s="85">
        <v>49841</v>
      </c>
      <c r="BC41" s="40"/>
      <c r="BD41" s="101"/>
      <c r="BE41" s="40">
        <f t="shared" si="3"/>
        <v>0</v>
      </c>
      <c r="BF41" s="40"/>
      <c r="BG41" s="40">
        <f t="shared" si="4"/>
        <v>0</v>
      </c>
      <c r="BI41" s="85">
        <v>49841</v>
      </c>
      <c r="BJ41" s="40"/>
      <c r="BK41" s="40"/>
      <c r="BL41" s="40"/>
      <c r="BM41" s="40"/>
      <c r="BN41" s="40">
        <v>0</v>
      </c>
      <c r="BP41" s="85">
        <v>49841</v>
      </c>
      <c r="BQ41" s="40"/>
      <c r="BR41" s="40"/>
      <c r="BS41" s="40"/>
      <c r="BT41" s="40"/>
      <c r="BU41" s="40">
        <v>0</v>
      </c>
      <c r="BW41" s="85">
        <v>49841</v>
      </c>
      <c r="BX41" s="40"/>
      <c r="BY41" s="40"/>
      <c r="BZ41" s="40"/>
      <c r="CA41" s="40"/>
      <c r="CB41" s="40">
        <v>0</v>
      </c>
      <c r="CD41" s="85">
        <v>49841</v>
      </c>
      <c r="CE41" s="40"/>
      <c r="CF41" s="40"/>
      <c r="CG41" s="40"/>
      <c r="CH41" s="40">
        <v>0</v>
      </c>
      <c r="CJ41" s="85">
        <v>49841</v>
      </c>
      <c r="CK41" s="40"/>
      <c r="CL41" s="87">
        <v>0</v>
      </c>
      <c r="CM41" s="40">
        <f t="shared" si="29"/>
        <v>2426875</v>
      </c>
      <c r="CN41" s="40">
        <f t="shared" si="32"/>
        <v>2426875</v>
      </c>
      <c r="CP41" s="85">
        <v>49841</v>
      </c>
      <c r="CQ41" s="40"/>
      <c r="CR41" s="87"/>
      <c r="CS41" s="40">
        <f t="shared" si="30"/>
        <v>6345062.5</v>
      </c>
      <c r="CT41" s="40"/>
      <c r="CU41" s="40">
        <f t="shared" si="5"/>
        <v>6345062.5</v>
      </c>
      <c r="CV41" s="151"/>
      <c r="CW41" s="85">
        <v>49841</v>
      </c>
      <c r="CY41" s="40"/>
      <c r="CZ41" s="87"/>
      <c r="DB41" s="40">
        <v>0</v>
      </c>
      <c r="DC41" s="151"/>
      <c r="DD41" s="85">
        <v>49841</v>
      </c>
      <c r="DE41" s="40"/>
      <c r="DF41" s="87"/>
      <c r="DG41" s="40"/>
      <c r="DH41" s="87"/>
      <c r="DI41" s="40"/>
      <c r="DJ41" s="87"/>
      <c r="DK41" s="40"/>
      <c r="DL41" s="87"/>
      <c r="DM41" s="40">
        <f t="shared" si="6"/>
        <v>0</v>
      </c>
      <c r="DN41" s="40"/>
      <c r="DO41" s="40">
        <f t="shared" si="7"/>
        <v>0</v>
      </c>
      <c r="DP41" s="151"/>
      <c r="DQ41" s="85">
        <v>49841</v>
      </c>
      <c r="DR41" s="40"/>
      <c r="DS41" s="87"/>
      <c r="DT41" s="40">
        <f t="shared" si="8"/>
        <v>0</v>
      </c>
      <c r="DU41" s="40">
        <f t="shared" si="9"/>
        <v>0</v>
      </c>
      <c r="DV41" s="151"/>
      <c r="DW41" s="85">
        <v>49841</v>
      </c>
      <c r="DX41" s="40"/>
      <c r="DY41" s="40"/>
      <c r="DZ41" s="40"/>
      <c r="EA41" s="40"/>
      <c r="EB41" s="40">
        <f t="shared" si="10"/>
        <v>0</v>
      </c>
      <c r="EC41" s="40"/>
      <c r="ED41" s="85">
        <v>49841</v>
      </c>
      <c r="EI41" s="40">
        <f t="shared" si="11"/>
        <v>0</v>
      </c>
      <c r="EJ41" s="85"/>
      <c r="EK41" s="85">
        <v>49841</v>
      </c>
      <c r="EQ41" s="85">
        <v>49841</v>
      </c>
      <c r="ES41" s="101"/>
      <c r="ET41" s="40">
        <f t="shared" si="33"/>
        <v>0</v>
      </c>
      <c r="EU41" s="40">
        <f t="shared" si="12"/>
        <v>0</v>
      </c>
      <c r="EW41" s="85">
        <v>49841</v>
      </c>
      <c r="EY41" s="101"/>
      <c r="EZ41" s="40">
        <f t="shared" si="34"/>
        <v>0</v>
      </c>
      <c r="FA41" s="40">
        <f t="shared" si="13"/>
        <v>0</v>
      </c>
      <c r="FC41" s="85">
        <v>49841</v>
      </c>
      <c r="FH41" s="40">
        <f t="shared" si="14"/>
        <v>0</v>
      </c>
      <c r="FJ41" s="85">
        <v>49841</v>
      </c>
      <c r="FO41" s="40">
        <f t="shared" si="15"/>
        <v>0</v>
      </c>
      <c r="FQ41" s="85">
        <v>49841</v>
      </c>
      <c r="FV41" s="40">
        <f t="shared" si="16"/>
        <v>0</v>
      </c>
      <c r="FX41" s="85">
        <v>49841</v>
      </c>
      <c r="GC41" s="40">
        <f t="shared" si="17"/>
        <v>0</v>
      </c>
    </row>
    <row r="42" spans="2:185" x14ac:dyDescent="0.25">
      <c r="B42" s="85">
        <v>50040</v>
      </c>
      <c r="C42" s="85"/>
      <c r="D42" s="85">
        <v>50024</v>
      </c>
      <c r="E42" s="40">
        <f t="shared" si="18"/>
        <v>0</v>
      </c>
      <c r="F42" s="40">
        <f t="shared" si="19"/>
        <v>8771937.5</v>
      </c>
      <c r="G42" s="40">
        <f t="shared" si="20"/>
        <v>0</v>
      </c>
      <c r="H42" s="40">
        <v>0</v>
      </c>
      <c r="I42" s="40">
        <f t="shared" si="21"/>
        <v>8771937.5</v>
      </c>
      <c r="J42" s="40"/>
      <c r="L42" s="85">
        <v>50024</v>
      </c>
      <c r="M42" s="40"/>
      <c r="N42" s="101"/>
      <c r="O42" s="40">
        <f t="shared" si="37"/>
        <v>0</v>
      </c>
      <c r="P42" s="40"/>
      <c r="Q42" s="40"/>
      <c r="R42" s="40">
        <f t="shared" si="22"/>
        <v>0</v>
      </c>
      <c r="T42" s="85">
        <v>50024</v>
      </c>
      <c r="U42" s="40"/>
      <c r="V42" s="101"/>
      <c r="W42" s="40">
        <f t="shared" si="23"/>
        <v>0</v>
      </c>
      <c r="X42" s="40"/>
      <c r="Y42" s="40"/>
      <c r="Z42" s="40">
        <f t="shared" si="24"/>
        <v>0</v>
      </c>
      <c r="AB42" s="85">
        <v>50024</v>
      </c>
      <c r="AC42" s="40"/>
      <c r="AD42" s="101"/>
      <c r="AE42" s="40">
        <f t="shared" si="25"/>
        <v>0</v>
      </c>
      <c r="AF42" s="40"/>
      <c r="AG42" s="40"/>
      <c r="AH42" s="40">
        <f t="shared" si="26"/>
        <v>0</v>
      </c>
      <c r="AJ42" s="85">
        <v>50024</v>
      </c>
      <c r="AK42" s="40"/>
      <c r="AL42" s="101"/>
      <c r="AM42" s="40">
        <f t="shared" si="27"/>
        <v>0</v>
      </c>
      <c r="AN42" s="40"/>
      <c r="AO42" s="40"/>
      <c r="AP42" s="40">
        <f t="shared" si="28"/>
        <v>0</v>
      </c>
      <c r="AR42" s="85">
        <v>50024</v>
      </c>
      <c r="AS42" s="40"/>
      <c r="AT42" s="101"/>
      <c r="AU42" s="40"/>
      <c r="AV42" s="101"/>
      <c r="AW42" s="40">
        <f t="shared" si="1"/>
        <v>0</v>
      </c>
      <c r="AX42" s="40"/>
      <c r="AY42" s="40"/>
      <c r="AZ42" s="40">
        <f t="shared" si="2"/>
        <v>0</v>
      </c>
      <c r="BB42" s="85">
        <v>50024</v>
      </c>
      <c r="BC42" s="40"/>
      <c r="BD42" s="101"/>
      <c r="BE42" s="40">
        <f t="shared" si="3"/>
        <v>0</v>
      </c>
      <c r="BF42" s="40"/>
      <c r="BG42" s="40">
        <f t="shared" si="4"/>
        <v>0</v>
      </c>
      <c r="BI42" s="85">
        <v>50024</v>
      </c>
      <c r="BJ42" s="40"/>
      <c r="BK42" s="40"/>
      <c r="BL42" s="40"/>
      <c r="BM42" s="40"/>
      <c r="BN42" s="40">
        <v>0</v>
      </c>
      <c r="BP42" s="85">
        <v>50024</v>
      </c>
      <c r="BQ42" s="40"/>
      <c r="BR42" s="40"/>
      <c r="BS42" s="40"/>
      <c r="BT42" s="40"/>
      <c r="BU42" s="40">
        <v>0</v>
      </c>
      <c r="BW42" s="85">
        <v>50024</v>
      </c>
      <c r="BX42" s="40"/>
      <c r="BY42" s="40"/>
      <c r="BZ42" s="40"/>
      <c r="CA42" s="40"/>
      <c r="CB42" s="40">
        <v>0</v>
      </c>
      <c r="CD42" s="85">
        <v>50024</v>
      </c>
      <c r="CE42" s="40"/>
      <c r="CF42" s="40"/>
      <c r="CG42" s="40"/>
      <c r="CH42" s="40">
        <v>0</v>
      </c>
      <c r="CJ42" s="85">
        <v>50024</v>
      </c>
      <c r="CK42" s="40"/>
      <c r="CL42" s="87">
        <v>0</v>
      </c>
      <c r="CM42" s="40">
        <f t="shared" si="29"/>
        <v>2426875</v>
      </c>
      <c r="CN42" s="40">
        <f t="shared" si="32"/>
        <v>2426875</v>
      </c>
      <c r="CP42" s="85">
        <v>50024</v>
      </c>
      <c r="CQ42" s="40"/>
      <c r="CR42" s="87"/>
      <c r="CS42" s="40">
        <f t="shared" si="30"/>
        <v>6345062.5</v>
      </c>
      <c r="CT42" s="40"/>
      <c r="CU42" s="40">
        <f t="shared" si="5"/>
        <v>6345062.5</v>
      </c>
      <c r="CV42" s="151"/>
      <c r="CW42" s="85">
        <v>50024</v>
      </c>
      <c r="CY42" s="40"/>
      <c r="CZ42" s="87"/>
      <c r="DB42" s="40">
        <v>0</v>
      </c>
      <c r="DC42" s="151"/>
      <c r="DD42" s="85">
        <v>50024</v>
      </c>
      <c r="DE42" s="40"/>
      <c r="DF42" s="87"/>
      <c r="DG42" s="40"/>
      <c r="DH42" s="87"/>
      <c r="DI42" s="40"/>
      <c r="DJ42" s="87"/>
      <c r="DK42" s="40"/>
      <c r="DL42" s="87"/>
      <c r="DM42" s="40">
        <f t="shared" si="6"/>
        <v>0</v>
      </c>
      <c r="DN42" s="40"/>
      <c r="DO42" s="40">
        <f t="shared" si="7"/>
        <v>0</v>
      </c>
      <c r="DP42" s="151"/>
      <c r="DQ42" s="85">
        <v>50024</v>
      </c>
      <c r="DR42" s="40"/>
      <c r="DS42" s="87"/>
      <c r="DT42" s="40">
        <f t="shared" si="8"/>
        <v>0</v>
      </c>
      <c r="DU42" s="40">
        <f t="shared" si="9"/>
        <v>0</v>
      </c>
      <c r="DV42" s="151"/>
      <c r="DW42" s="85">
        <v>50024</v>
      </c>
      <c r="DX42" s="40"/>
      <c r="DY42" s="40"/>
      <c r="DZ42" s="40"/>
      <c r="EA42" s="40"/>
      <c r="EB42" s="40">
        <f t="shared" si="10"/>
        <v>0</v>
      </c>
      <c r="EC42" s="40"/>
      <c r="ED42" s="85">
        <v>50024</v>
      </c>
      <c r="EI42" s="40">
        <f t="shared" si="11"/>
        <v>0</v>
      </c>
      <c r="EJ42" s="85"/>
      <c r="EK42" s="85">
        <v>50024</v>
      </c>
      <c r="EQ42" s="85">
        <v>50024</v>
      </c>
      <c r="ES42" s="101"/>
      <c r="ET42" s="40">
        <f t="shared" si="33"/>
        <v>0</v>
      </c>
      <c r="EU42" s="40">
        <f t="shared" si="12"/>
        <v>0</v>
      </c>
      <c r="EW42" s="85">
        <v>50024</v>
      </c>
      <c r="EY42" s="101"/>
      <c r="EZ42" s="40">
        <f t="shared" si="34"/>
        <v>0</v>
      </c>
      <c r="FA42" s="40">
        <f t="shared" si="13"/>
        <v>0</v>
      </c>
      <c r="FC42" s="85">
        <v>50024</v>
      </c>
      <c r="FH42" s="40">
        <f t="shared" si="14"/>
        <v>0</v>
      </c>
      <c r="FJ42" s="85">
        <v>50024</v>
      </c>
      <c r="FO42" s="40">
        <f t="shared" si="15"/>
        <v>0</v>
      </c>
      <c r="FQ42" s="85">
        <v>50024</v>
      </c>
      <c r="FV42" s="40">
        <f t="shared" si="16"/>
        <v>0</v>
      </c>
      <c r="FX42" s="85">
        <v>50024</v>
      </c>
      <c r="GC42" s="40">
        <f t="shared" si="17"/>
        <v>0</v>
      </c>
    </row>
    <row r="43" spans="2:185" x14ac:dyDescent="0.25">
      <c r="B43" s="85">
        <v>50221</v>
      </c>
      <c r="C43" s="85"/>
      <c r="D43" s="85">
        <v>50206</v>
      </c>
      <c r="E43" s="40">
        <f t="shared" si="18"/>
        <v>0</v>
      </c>
      <c r="F43" s="40">
        <f t="shared" si="19"/>
        <v>8771937.5</v>
      </c>
      <c r="G43" s="40">
        <f t="shared" si="20"/>
        <v>0</v>
      </c>
      <c r="H43" s="40">
        <v>0</v>
      </c>
      <c r="I43" s="40">
        <f t="shared" si="21"/>
        <v>8771937.5</v>
      </c>
      <c r="J43" s="40">
        <f>SUM(I42:I43)</f>
        <v>17543875</v>
      </c>
      <c r="L43" s="85">
        <v>50206</v>
      </c>
      <c r="M43" s="40"/>
      <c r="N43" s="101"/>
      <c r="O43" s="40">
        <f t="shared" si="37"/>
        <v>0</v>
      </c>
      <c r="P43" s="40"/>
      <c r="Q43" s="40"/>
      <c r="R43" s="40">
        <f t="shared" si="22"/>
        <v>0</v>
      </c>
      <c r="T43" s="85">
        <v>50206</v>
      </c>
      <c r="U43" s="40"/>
      <c r="V43" s="101"/>
      <c r="W43" s="40">
        <f t="shared" si="23"/>
        <v>0</v>
      </c>
      <c r="X43" s="40"/>
      <c r="Y43" s="40"/>
      <c r="Z43" s="40">
        <f t="shared" si="24"/>
        <v>0</v>
      </c>
      <c r="AB43" s="85">
        <v>50206</v>
      </c>
      <c r="AC43" s="40"/>
      <c r="AD43" s="101"/>
      <c r="AE43" s="40">
        <f t="shared" si="25"/>
        <v>0</v>
      </c>
      <c r="AF43" s="40"/>
      <c r="AG43" s="40"/>
      <c r="AH43" s="40">
        <f t="shared" si="26"/>
        <v>0</v>
      </c>
      <c r="AJ43" s="85">
        <v>50206</v>
      </c>
      <c r="AK43" s="40"/>
      <c r="AL43" s="101"/>
      <c r="AM43" s="40">
        <f t="shared" si="27"/>
        <v>0</v>
      </c>
      <c r="AN43" s="40"/>
      <c r="AO43" s="40"/>
      <c r="AP43" s="40">
        <f t="shared" si="28"/>
        <v>0</v>
      </c>
      <c r="AR43" s="85">
        <v>50206</v>
      </c>
      <c r="AS43" s="40"/>
      <c r="AT43" s="101"/>
      <c r="AU43" s="40"/>
      <c r="AV43" s="101"/>
      <c r="AW43" s="40">
        <f t="shared" si="1"/>
        <v>0</v>
      </c>
      <c r="AX43" s="40"/>
      <c r="AY43" s="40"/>
      <c r="AZ43" s="40">
        <f t="shared" si="2"/>
        <v>0</v>
      </c>
      <c r="BB43" s="85">
        <v>50206</v>
      </c>
      <c r="BC43" s="40"/>
      <c r="BD43" s="101"/>
      <c r="BE43" s="40">
        <f t="shared" si="3"/>
        <v>0</v>
      </c>
      <c r="BF43" s="40"/>
      <c r="BG43" s="40">
        <f t="shared" si="4"/>
        <v>0</v>
      </c>
      <c r="BI43" s="85">
        <v>50206</v>
      </c>
      <c r="BJ43" s="40"/>
      <c r="BK43" s="40"/>
      <c r="BL43" s="40"/>
      <c r="BM43" s="40"/>
      <c r="BN43" s="40">
        <v>0</v>
      </c>
      <c r="BP43" s="85">
        <v>50206</v>
      </c>
      <c r="BQ43" s="40"/>
      <c r="BR43" s="40"/>
      <c r="BS43" s="40"/>
      <c r="BT43" s="40"/>
      <c r="BU43" s="40">
        <v>0</v>
      </c>
      <c r="BW43" s="85">
        <v>50206</v>
      </c>
      <c r="BX43" s="40"/>
      <c r="BY43" s="40"/>
      <c r="BZ43" s="40"/>
      <c r="CA43" s="40"/>
      <c r="CB43" s="40">
        <v>0</v>
      </c>
      <c r="CD43" s="85">
        <v>50206</v>
      </c>
      <c r="CE43" s="40"/>
      <c r="CF43" s="40"/>
      <c r="CG43" s="40"/>
      <c r="CH43" s="40">
        <v>0</v>
      </c>
      <c r="CJ43" s="85">
        <v>50206</v>
      </c>
      <c r="CK43" s="40"/>
      <c r="CL43" s="87">
        <v>0</v>
      </c>
      <c r="CM43" s="40">
        <f t="shared" si="29"/>
        <v>2426875</v>
      </c>
      <c r="CN43" s="40">
        <f t="shared" si="32"/>
        <v>2426875</v>
      </c>
      <c r="CP43" s="85">
        <v>50206</v>
      </c>
      <c r="CQ43" s="40"/>
      <c r="CR43" s="87"/>
      <c r="CS43" s="40">
        <f t="shared" si="30"/>
        <v>6345062.5</v>
      </c>
      <c r="CT43" s="40"/>
      <c r="CU43" s="40">
        <f t="shared" si="5"/>
        <v>6345062.5</v>
      </c>
      <c r="CV43" s="151"/>
      <c r="CW43" s="85">
        <v>50206</v>
      </c>
      <c r="CY43" s="40"/>
      <c r="CZ43" s="87"/>
      <c r="DB43" s="40">
        <v>0</v>
      </c>
      <c r="DC43" s="151"/>
      <c r="DD43" s="85">
        <v>50206</v>
      </c>
      <c r="DE43" s="40"/>
      <c r="DF43" s="87"/>
      <c r="DG43" s="40"/>
      <c r="DH43" s="87"/>
      <c r="DI43" s="40"/>
      <c r="DJ43" s="87"/>
      <c r="DK43" s="40"/>
      <c r="DL43" s="87"/>
      <c r="DM43" s="40">
        <f t="shared" si="6"/>
        <v>0</v>
      </c>
      <c r="DN43" s="40"/>
      <c r="DO43" s="40">
        <f t="shared" si="7"/>
        <v>0</v>
      </c>
      <c r="DP43" s="151"/>
      <c r="DQ43" s="85">
        <v>50206</v>
      </c>
      <c r="DR43" s="40"/>
      <c r="DS43" s="87"/>
      <c r="DT43" s="40">
        <f t="shared" si="8"/>
        <v>0</v>
      </c>
      <c r="DU43" s="40">
        <f t="shared" si="9"/>
        <v>0</v>
      </c>
      <c r="DV43" s="151"/>
      <c r="DW43" s="85">
        <v>50206</v>
      </c>
      <c r="DX43" s="40"/>
      <c r="DY43" s="40"/>
      <c r="DZ43" s="40"/>
      <c r="EA43" s="40"/>
      <c r="EB43" s="40">
        <f t="shared" si="10"/>
        <v>0</v>
      </c>
      <c r="EC43" s="40"/>
      <c r="ED43" s="85">
        <v>50206</v>
      </c>
      <c r="EI43" s="40">
        <f t="shared" si="11"/>
        <v>0</v>
      </c>
      <c r="EJ43" s="85"/>
      <c r="EK43" s="85">
        <v>50206</v>
      </c>
      <c r="EQ43" s="85">
        <v>50206</v>
      </c>
      <c r="ES43" s="101"/>
      <c r="ET43" s="40">
        <f t="shared" si="33"/>
        <v>0</v>
      </c>
      <c r="EU43" s="40">
        <f t="shared" si="12"/>
        <v>0</v>
      </c>
      <c r="EW43" s="85">
        <v>50206</v>
      </c>
      <c r="EY43" s="101"/>
      <c r="EZ43" s="40">
        <f t="shared" si="34"/>
        <v>0</v>
      </c>
      <c r="FA43" s="40">
        <f t="shared" si="13"/>
        <v>0</v>
      </c>
      <c r="FC43" s="85">
        <v>50206</v>
      </c>
      <c r="FH43" s="40">
        <f t="shared" si="14"/>
        <v>0</v>
      </c>
      <c r="FJ43" s="85">
        <v>50206</v>
      </c>
      <c r="FO43" s="40">
        <f t="shared" si="15"/>
        <v>0</v>
      </c>
      <c r="FQ43" s="85">
        <v>50206</v>
      </c>
      <c r="FV43" s="40">
        <f t="shared" si="16"/>
        <v>0</v>
      </c>
      <c r="FX43" s="85">
        <v>50206</v>
      </c>
      <c r="GC43" s="40">
        <f t="shared" si="17"/>
        <v>0</v>
      </c>
    </row>
    <row r="44" spans="2:185" x14ac:dyDescent="0.25">
      <c r="B44" s="85">
        <v>50405</v>
      </c>
      <c r="C44" s="85"/>
      <c r="D44" s="85">
        <v>50389</v>
      </c>
      <c r="E44" s="40">
        <f t="shared" si="18"/>
        <v>0</v>
      </c>
      <c r="F44" s="40">
        <f t="shared" si="19"/>
        <v>8771937.5</v>
      </c>
      <c r="G44" s="40">
        <f t="shared" si="20"/>
        <v>0</v>
      </c>
      <c r="H44" s="40">
        <v>0</v>
      </c>
      <c r="I44" s="40">
        <f t="shared" si="21"/>
        <v>8771937.5</v>
      </c>
      <c r="J44" s="40"/>
      <c r="L44" s="85">
        <v>50389</v>
      </c>
      <c r="M44" s="40"/>
      <c r="N44" s="101"/>
      <c r="O44" s="40">
        <f t="shared" si="37"/>
        <v>0</v>
      </c>
      <c r="P44" s="40"/>
      <c r="Q44" s="40"/>
      <c r="R44" s="40">
        <f t="shared" si="22"/>
        <v>0</v>
      </c>
      <c r="T44" s="85">
        <v>50389</v>
      </c>
      <c r="U44" s="40"/>
      <c r="V44" s="101"/>
      <c r="W44" s="40">
        <f t="shared" si="23"/>
        <v>0</v>
      </c>
      <c r="X44" s="40"/>
      <c r="Y44" s="40"/>
      <c r="Z44" s="40">
        <f t="shared" si="24"/>
        <v>0</v>
      </c>
      <c r="AB44" s="85">
        <v>50389</v>
      </c>
      <c r="AC44" s="40"/>
      <c r="AD44" s="101"/>
      <c r="AE44" s="40">
        <f t="shared" si="25"/>
        <v>0</v>
      </c>
      <c r="AF44" s="40"/>
      <c r="AG44" s="40"/>
      <c r="AH44" s="40">
        <f t="shared" si="26"/>
        <v>0</v>
      </c>
      <c r="AJ44" s="85">
        <v>50389</v>
      </c>
      <c r="AK44" s="40"/>
      <c r="AL44" s="101"/>
      <c r="AM44" s="40">
        <f t="shared" si="27"/>
        <v>0</v>
      </c>
      <c r="AN44" s="40"/>
      <c r="AO44" s="40"/>
      <c r="AP44" s="40">
        <f t="shared" si="28"/>
        <v>0</v>
      </c>
      <c r="AR44" s="85">
        <v>50389</v>
      </c>
      <c r="AS44" s="40"/>
      <c r="AT44" s="101"/>
      <c r="AU44" s="40"/>
      <c r="AV44" s="101"/>
      <c r="AW44" s="40">
        <f t="shared" si="1"/>
        <v>0</v>
      </c>
      <c r="AX44" s="40"/>
      <c r="AY44" s="40"/>
      <c r="AZ44" s="40">
        <f t="shared" si="2"/>
        <v>0</v>
      </c>
      <c r="BB44" s="85">
        <v>50389</v>
      </c>
      <c r="BC44" s="40"/>
      <c r="BD44" s="101"/>
      <c r="BE44" s="40">
        <f t="shared" si="3"/>
        <v>0</v>
      </c>
      <c r="BF44" s="40"/>
      <c r="BG44" s="40">
        <f t="shared" si="4"/>
        <v>0</v>
      </c>
      <c r="BI44" s="85">
        <v>50389</v>
      </c>
      <c r="BJ44" s="40"/>
      <c r="BK44" s="40"/>
      <c r="BL44" s="40"/>
      <c r="BM44" s="40"/>
      <c r="BN44" s="40">
        <v>0</v>
      </c>
      <c r="BP44" s="85">
        <v>50389</v>
      </c>
      <c r="BQ44" s="40"/>
      <c r="BR44" s="40"/>
      <c r="BS44" s="40"/>
      <c r="BT44" s="40"/>
      <c r="BU44" s="40">
        <v>0</v>
      </c>
      <c r="BW44" s="85">
        <v>50389</v>
      </c>
      <c r="BX44" s="40"/>
      <c r="BY44" s="40"/>
      <c r="BZ44" s="40"/>
      <c r="CA44" s="40"/>
      <c r="CB44" s="40">
        <v>0</v>
      </c>
      <c r="CD44" s="85">
        <v>50389</v>
      </c>
      <c r="CE44" s="40"/>
      <c r="CF44" s="40"/>
      <c r="CG44" s="40"/>
      <c r="CH44" s="40">
        <v>0</v>
      </c>
      <c r="CJ44" s="85">
        <v>50389</v>
      </c>
      <c r="CK44" s="40"/>
      <c r="CL44" s="87">
        <v>0</v>
      </c>
      <c r="CM44" s="40">
        <f t="shared" si="29"/>
        <v>2426875</v>
      </c>
      <c r="CN44" s="40">
        <f t="shared" si="32"/>
        <v>2426875</v>
      </c>
      <c r="CP44" s="85">
        <v>50389</v>
      </c>
      <c r="CQ44" s="40"/>
      <c r="CR44" s="87"/>
      <c r="CS44" s="40">
        <f t="shared" si="30"/>
        <v>6345062.5</v>
      </c>
      <c r="CT44" s="40"/>
      <c r="CU44" s="40">
        <f t="shared" si="5"/>
        <v>6345062.5</v>
      </c>
      <c r="CV44" s="151"/>
      <c r="CW44" s="85">
        <v>50389</v>
      </c>
      <c r="CY44" s="40"/>
      <c r="CZ44" s="87"/>
      <c r="DB44" s="40">
        <v>0</v>
      </c>
      <c r="DC44" s="151"/>
      <c r="DD44" s="85">
        <v>50389</v>
      </c>
      <c r="DE44" s="40"/>
      <c r="DF44" s="87"/>
      <c r="DG44" s="40"/>
      <c r="DH44" s="87"/>
      <c r="DI44" s="40"/>
      <c r="DJ44" s="87"/>
      <c r="DK44" s="40"/>
      <c r="DL44" s="87"/>
      <c r="DM44" s="40">
        <f t="shared" si="6"/>
        <v>0</v>
      </c>
      <c r="DN44" s="40"/>
      <c r="DO44" s="40">
        <f t="shared" si="7"/>
        <v>0</v>
      </c>
      <c r="DP44" s="151"/>
      <c r="DQ44" s="85">
        <v>50389</v>
      </c>
      <c r="DR44" s="40"/>
      <c r="DS44" s="87"/>
      <c r="DT44" s="40">
        <f t="shared" si="8"/>
        <v>0</v>
      </c>
      <c r="DU44" s="40">
        <f t="shared" si="9"/>
        <v>0</v>
      </c>
      <c r="DV44" s="151"/>
      <c r="DW44" s="85">
        <v>50389</v>
      </c>
      <c r="DX44" s="40"/>
      <c r="DY44" s="40"/>
      <c r="DZ44" s="40"/>
      <c r="EA44" s="40"/>
      <c r="EB44" s="40">
        <f t="shared" si="10"/>
        <v>0</v>
      </c>
      <c r="EC44" s="40"/>
      <c r="ED44" s="85">
        <v>50389</v>
      </c>
      <c r="EI44" s="40">
        <f t="shared" si="11"/>
        <v>0</v>
      </c>
      <c r="EJ44" s="85"/>
      <c r="EK44" s="85">
        <v>50389</v>
      </c>
      <c r="EQ44" s="85">
        <v>50389</v>
      </c>
      <c r="ES44" s="101"/>
      <c r="ET44" s="40">
        <f t="shared" si="33"/>
        <v>0</v>
      </c>
      <c r="EU44" s="40">
        <f t="shared" si="12"/>
        <v>0</v>
      </c>
      <c r="EW44" s="85">
        <v>50389</v>
      </c>
      <c r="EY44" s="101"/>
      <c r="EZ44" s="40">
        <f t="shared" si="34"/>
        <v>0</v>
      </c>
      <c r="FA44" s="40">
        <f t="shared" si="13"/>
        <v>0</v>
      </c>
      <c r="FC44" s="85">
        <v>50389</v>
      </c>
      <c r="FH44" s="40">
        <f t="shared" si="14"/>
        <v>0</v>
      </c>
      <c r="FJ44" s="85">
        <v>50389</v>
      </c>
      <c r="FO44" s="40">
        <f t="shared" si="15"/>
        <v>0</v>
      </c>
      <c r="FQ44" s="85">
        <v>50389</v>
      </c>
      <c r="FV44" s="40">
        <f t="shared" si="16"/>
        <v>0</v>
      </c>
      <c r="FX44" s="85">
        <v>50389</v>
      </c>
      <c r="GC44" s="40">
        <f t="shared" si="17"/>
        <v>0</v>
      </c>
    </row>
    <row r="45" spans="2:185" x14ac:dyDescent="0.25">
      <c r="B45" s="85">
        <v>50586</v>
      </c>
      <c r="C45" s="85"/>
      <c r="D45" s="85">
        <v>50571</v>
      </c>
      <c r="E45" s="40">
        <f t="shared" si="18"/>
        <v>0</v>
      </c>
      <c r="F45" s="40">
        <f t="shared" si="19"/>
        <v>8771937.5</v>
      </c>
      <c r="G45" s="40">
        <f t="shared" si="20"/>
        <v>0</v>
      </c>
      <c r="H45" s="40">
        <v>0</v>
      </c>
      <c r="I45" s="40">
        <f t="shared" si="21"/>
        <v>8771937.5</v>
      </c>
      <c r="J45" s="40">
        <f>SUM(I44:I45)</f>
        <v>17543875</v>
      </c>
      <c r="L45" s="85">
        <v>50571</v>
      </c>
      <c r="M45" s="40"/>
      <c r="N45" s="101"/>
      <c r="O45" s="40">
        <f t="shared" si="37"/>
        <v>0</v>
      </c>
      <c r="P45" s="40"/>
      <c r="Q45" s="40"/>
      <c r="R45" s="40">
        <f t="shared" si="22"/>
        <v>0</v>
      </c>
      <c r="T45" s="85">
        <v>50571</v>
      </c>
      <c r="U45" s="40"/>
      <c r="V45" s="101"/>
      <c r="W45" s="40">
        <f t="shared" si="23"/>
        <v>0</v>
      </c>
      <c r="X45" s="40"/>
      <c r="Y45" s="40"/>
      <c r="Z45" s="40">
        <f t="shared" si="24"/>
        <v>0</v>
      </c>
      <c r="AB45" s="85">
        <v>50571</v>
      </c>
      <c r="AC45" s="40"/>
      <c r="AD45" s="101"/>
      <c r="AE45" s="40">
        <f t="shared" si="25"/>
        <v>0</v>
      </c>
      <c r="AF45" s="40"/>
      <c r="AG45" s="40"/>
      <c r="AH45" s="40">
        <f t="shared" si="26"/>
        <v>0</v>
      </c>
      <c r="AJ45" s="85">
        <v>50571</v>
      </c>
      <c r="AK45" s="40"/>
      <c r="AL45" s="101"/>
      <c r="AM45" s="40">
        <f t="shared" si="27"/>
        <v>0</v>
      </c>
      <c r="AN45" s="40"/>
      <c r="AO45" s="40"/>
      <c r="AP45" s="40">
        <f t="shared" si="28"/>
        <v>0</v>
      </c>
      <c r="AR45" s="85">
        <v>50571</v>
      </c>
      <c r="AS45" s="40"/>
      <c r="AT45" s="101"/>
      <c r="AU45" s="40"/>
      <c r="AV45" s="101"/>
      <c r="AW45" s="40">
        <f t="shared" si="1"/>
        <v>0</v>
      </c>
      <c r="AX45" s="40"/>
      <c r="AY45" s="40"/>
      <c r="AZ45" s="40">
        <f t="shared" si="2"/>
        <v>0</v>
      </c>
      <c r="BB45" s="85">
        <v>50571</v>
      </c>
      <c r="BC45" s="40"/>
      <c r="BD45" s="101"/>
      <c r="BE45" s="40">
        <f t="shared" si="3"/>
        <v>0</v>
      </c>
      <c r="BF45" s="40"/>
      <c r="BG45" s="40">
        <f t="shared" si="4"/>
        <v>0</v>
      </c>
      <c r="BI45" s="85">
        <v>50571</v>
      </c>
      <c r="BJ45" s="40"/>
      <c r="BK45" s="40"/>
      <c r="BL45" s="40"/>
      <c r="BM45" s="40"/>
      <c r="BN45" s="40">
        <v>0</v>
      </c>
      <c r="BP45" s="85">
        <v>50571</v>
      </c>
      <c r="BQ45" s="40"/>
      <c r="BR45" s="40"/>
      <c r="BS45" s="40"/>
      <c r="BT45" s="40"/>
      <c r="BU45" s="40">
        <v>0</v>
      </c>
      <c r="BW45" s="85">
        <v>50571</v>
      </c>
      <c r="BX45" s="40"/>
      <c r="BY45" s="40"/>
      <c r="BZ45" s="40"/>
      <c r="CA45" s="40"/>
      <c r="CB45" s="40">
        <v>0</v>
      </c>
      <c r="CD45" s="85">
        <v>50571</v>
      </c>
      <c r="CE45" s="40"/>
      <c r="CF45" s="40"/>
      <c r="CG45" s="40"/>
      <c r="CH45" s="40">
        <v>0</v>
      </c>
      <c r="CJ45" s="85">
        <v>50571</v>
      </c>
      <c r="CK45" s="40"/>
      <c r="CL45" s="87">
        <v>0</v>
      </c>
      <c r="CM45" s="40">
        <f t="shared" si="29"/>
        <v>2426875</v>
      </c>
      <c r="CN45" s="40">
        <f t="shared" si="32"/>
        <v>2426875</v>
      </c>
      <c r="CP45" s="85">
        <v>50571</v>
      </c>
      <c r="CQ45" s="40"/>
      <c r="CR45" s="87"/>
      <c r="CS45" s="40">
        <f t="shared" si="30"/>
        <v>6345062.5</v>
      </c>
      <c r="CT45" s="40"/>
      <c r="CU45" s="40">
        <f t="shared" si="5"/>
        <v>6345062.5</v>
      </c>
      <c r="CV45" s="151"/>
      <c r="CW45" s="85">
        <v>50571</v>
      </c>
      <c r="CY45" s="40"/>
      <c r="CZ45" s="87"/>
      <c r="DB45" s="40">
        <v>0</v>
      </c>
      <c r="DC45" s="151"/>
      <c r="DD45" s="85">
        <v>50571</v>
      </c>
      <c r="DE45" s="40"/>
      <c r="DF45" s="87"/>
      <c r="DG45" s="40"/>
      <c r="DH45" s="87"/>
      <c r="DI45" s="40"/>
      <c r="DJ45" s="87"/>
      <c r="DK45" s="40"/>
      <c r="DL45" s="87"/>
      <c r="DM45" s="40">
        <f t="shared" si="6"/>
        <v>0</v>
      </c>
      <c r="DN45" s="40"/>
      <c r="DO45" s="40">
        <f t="shared" si="7"/>
        <v>0</v>
      </c>
      <c r="DP45" s="151"/>
      <c r="DQ45" s="85">
        <v>50571</v>
      </c>
      <c r="DR45" s="40"/>
      <c r="DS45" s="87"/>
      <c r="DT45" s="40">
        <f t="shared" si="8"/>
        <v>0</v>
      </c>
      <c r="DU45" s="40">
        <f t="shared" si="9"/>
        <v>0</v>
      </c>
      <c r="DV45" s="151"/>
      <c r="DW45" s="85">
        <v>50571</v>
      </c>
      <c r="DX45" s="40"/>
      <c r="DY45" s="40"/>
      <c r="DZ45" s="40"/>
      <c r="EA45" s="40"/>
      <c r="EB45" s="40">
        <f t="shared" si="10"/>
        <v>0</v>
      </c>
      <c r="EC45" s="40"/>
      <c r="ED45" s="85">
        <v>50571</v>
      </c>
      <c r="EI45" s="40">
        <f t="shared" si="11"/>
        <v>0</v>
      </c>
      <c r="EJ45" s="85"/>
      <c r="EK45" s="85">
        <v>50571</v>
      </c>
      <c r="EQ45" s="85">
        <v>50571</v>
      </c>
      <c r="ES45" s="101"/>
      <c r="ET45" s="40">
        <f t="shared" si="33"/>
        <v>0</v>
      </c>
      <c r="EU45" s="40">
        <f t="shared" si="12"/>
        <v>0</v>
      </c>
      <c r="EW45" s="85">
        <v>50571</v>
      </c>
      <c r="EY45" s="101"/>
      <c r="EZ45" s="40">
        <f t="shared" si="34"/>
        <v>0</v>
      </c>
      <c r="FA45" s="40">
        <f t="shared" si="13"/>
        <v>0</v>
      </c>
      <c r="FC45" s="85">
        <v>50571</v>
      </c>
      <c r="FH45" s="40">
        <f t="shared" si="14"/>
        <v>0</v>
      </c>
      <c r="FJ45" s="85">
        <v>50571</v>
      </c>
      <c r="FO45" s="40">
        <f t="shared" si="15"/>
        <v>0</v>
      </c>
      <c r="FQ45" s="85">
        <v>50571</v>
      </c>
      <c r="FV45" s="40">
        <f t="shared" si="16"/>
        <v>0</v>
      </c>
      <c r="FX45" s="85">
        <v>50571</v>
      </c>
      <c r="GC45" s="40">
        <f t="shared" si="17"/>
        <v>0</v>
      </c>
    </row>
    <row r="46" spans="2:185" x14ac:dyDescent="0.25">
      <c r="B46" s="85">
        <v>50770</v>
      </c>
      <c r="C46" s="85"/>
      <c r="D46" s="85">
        <v>50754</v>
      </c>
      <c r="E46" s="40">
        <f t="shared" si="18"/>
        <v>0</v>
      </c>
      <c r="F46" s="40">
        <f t="shared" si="19"/>
        <v>8771937.5</v>
      </c>
      <c r="G46" s="40">
        <f t="shared" si="20"/>
        <v>0</v>
      </c>
      <c r="H46" s="40">
        <v>0</v>
      </c>
      <c r="I46" s="40">
        <f t="shared" si="21"/>
        <v>8771937.5</v>
      </c>
      <c r="J46" s="40"/>
      <c r="L46" s="85">
        <v>50754</v>
      </c>
      <c r="M46" s="40"/>
      <c r="N46" s="101"/>
      <c r="O46" s="40">
        <f t="shared" si="37"/>
        <v>0</v>
      </c>
      <c r="P46" s="40"/>
      <c r="Q46" s="40"/>
      <c r="R46" s="40">
        <f t="shared" si="22"/>
        <v>0</v>
      </c>
      <c r="T46" s="85">
        <v>50754</v>
      </c>
      <c r="U46" s="40"/>
      <c r="V46" s="101"/>
      <c r="W46" s="40">
        <f t="shared" si="23"/>
        <v>0</v>
      </c>
      <c r="X46" s="40"/>
      <c r="Y46" s="40"/>
      <c r="Z46" s="40">
        <f t="shared" si="24"/>
        <v>0</v>
      </c>
      <c r="AB46" s="85">
        <v>50754</v>
      </c>
      <c r="AC46" s="40"/>
      <c r="AD46" s="101"/>
      <c r="AE46" s="40">
        <f t="shared" si="25"/>
        <v>0</v>
      </c>
      <c r="AF46" s="40"/>
      <c r="AG46" s="40"/>
      <c r="AH46" s="40">
        <f t="shared" si="26"/>
        <v>0</v>
      </c>
      <c r="AJ46" s="85">
        <v>50754</v>
      </c>
      <c r="AK46" s="40"/>
      <c r="AL46" s="101"/>
      <c r="AM46" s="40">
        <f t="shared" si="27"/>
        <v>0</v>
      </c>
      <c r="AN46" s="40"/>
      <c r="AO46" s="40"/>
      <c r="AP46" s="40">
        <f t="shared" si="28"/>
        <v>0</v>
      </c>
      <c r="AR46" s="85">
        <v>50754</v>
      </c>
      <c r="AS46" s="40"/>
      <c r="AT46" s="101"/>
      <c r="AU46" s="40"/>
      <c r="AV46" s="101"/>
      <c r="AW46" s="40">
        <f t="shared" si="1"/>
        <v>0</v>
      </c>
      <c r="AX46" s="40"/>
      <c r="AY46" s="40"/>
      <c r="AZ46" s="40">
        <f t="shared" si="2"/>
        <v>0</v>
      </c>
      <c r="BB46" s="85">
        <v>50754</v>
      </c>
      <c r="BC46" s="40"/>
      <c r="BD46" s="101"/>
      <c r="BE46" s="40">
        <f t="shared" si="3"/>
        <v>0</v>
      </c>
      <c r="BF46" s="40"/>
      <c r="BG46" s="40">
        <f t="shared" si="4"/>
        <v>0</v>
      </c>
      <c r="BI46" s="85">
        <v>50754</v>
      </c>
      <c r="BJ46" s="40"/>
      <c r="BK46" s="40"/>
      <c r="BL46" s="40"/>
      <c r="BM46" s="40"/>
      <c r="BN46" s="40">
        <v>0</v>
      </c>
      <c r="BP46" s="85">
        <v>50754</v>
      </c>
      <c r="BQ46" s="40"/>
      <c r="BR46" s="40"/>
      <c r="BS46" s="40"/>
      <c r="BT46" s="40"/>
      <c r="BU46" s="40">
        <v>0</v>
      </c>
      <c r="BW46" s="85">
        <v>50754</v>
      </c>
      <c r="BX46" s="40"/>
      <c r="BY46" s="40"/>
      <c r="BZ46" s="40"/>
      <c r="CA46" s="40"/>
      <c r="CB46" s="40">
        <v>0</v>
      </c>
      <c r="CD46" s="85">
        <v>50754</v>
      </c>
      <c r="CE46" s="40"/>
      <c r="CF46" s="40"/>
      <c r="CG46" s="40"/>
      <c r="CH46" s="40">
        <v>0</v>
      </c>
      <c r="CJ46" s="85">
        <v>50754</v>
      </c>
      <c r="CK46" s="40"/>
      <c r="CL46" s="87">
        <v>0</v>
      </c>
      <c r="CM46" s="40">
        <f t="shared" si="29"/>
        <v>2426875</v>
      </c>
      <c r="CN46" s="40">
        <f t="shared" si="32"/>
        <v>2426875</v>
      </c>
      <c r="CP46" s="85">
        <v>50754</v>
      </c>
      <c r="CQ46" s="40"/>
      <c r="CR46" s="87"/>
      <c r="CS46" s="40">
        <f t="shared" si="30"/>
        <v>6345062.5</v>
      </c>
      <c r="CT46" s="40"/>
      <c r="CU46" s="40">
        <f t="shared" si="5"/>
        <v>6345062.5</v>
      </c>
      <c r="CV46" s="151"/>
      <c r="CW46" s="85">
        <v>50754</v>
      </c>
      <c r="CY46" s="40"/>
      <c r="CZ46" s="87"/>
      <c r="DB46" s="40">
        <v>0</v>
      </c>
      <c r="DC46" s="151"/>
      <c r="DD46" s="85">
        <v>50754</v>
      </c>
      <c r="DE46" s="40"/>
      <c r="DF46" s="87"/>
      <c r="DG46" s="40"/>
      <c r="DH46" s="87"/>
      <c r="DI46" s="40"/>
      <c r="DJ46" s="87"/>
      <c r="DK46" s="40"/>
      <c r="DL46" s="87"/>
      <c r="DM46" s="40">
        <f t="shared" si="6"/>
        <v>0</v>
      </c>
      <c r="DN46" s="40"/>
      <c r="DO46" s="40">
        <f t="shared" si="7"/>
        <v>0</v>
      </c>
      <c r="DP46" s="151"/>
      <c r="DQ46" s="85">
        <v>50754</v>
      </c>
      <c r="DR46" s="40"/>
      <c r="DS46" s="87"/>
      <c r="DT46" s="40">
        <f t="shared" si="8"/>
        <v>0</v>
      </c>
      <c r="DU46" s="40">
        <f t="shared" si="9"/>
        <v>0</v>
      </c>
      <c r="DV46" s="151"/>
      <c r="DW46" s="85">
        <v>50754</v>
      </c>
      <c r="DX46" s="40"/>
      <c r="DY46" s="40"/>
      <c r="DZ46" s="40"/>
      <c r="EA46" s="40"/>
      <c r="EB46" s="40">
        <f t="shared" si="10"/>
        <v>0</v>
      </c>
      <c r="EC46" s="40"/>
      <c r="ED46" s="85">
        <v>50754</v>
      </c>
      <c r="EI46" s="40">
        <f t="shared" si="11"/>
        <v>0</v>
      </c>
      <c r="EJ46" s="85"/>
      <c r="EK46" s="85">
        <v>50754</v>
      </c>
      <c r="EQ46" s="85">
        <v>50754</v>
      </c>
      <c r="ES46" s="101"/>
      <c r="ET46" s="40">
        <f t="shared" si="33"/>
        <v>0</v>
      </c>
      <c r="EU46" s="40">
        <f t="shared" si="12"/>
        <v>0</v>
      </c>
      <c r="EW46" s="85">
        <v>50754</v>
      </c>
      <c r="EY46" s="101"/>
      <c r="EZ46" s="40">
        <f t="shared" si="34"/>
        <v>0</v>
      </c>
      <c r="FA46" s="40">
        <f t="shared" si="13"/>
        <v>0</v>
      </c>
      <c r="FC46" s="85">
        <v>50754</v>
      </c>
      <c r="FH46" s="40">
        <f t="shared" si="14"/>
        <v>0</v>
      </c>
      <c r="FJ46" s="85">
        <v>50754</v>
      </c>
      <c r="FO46" s="40">
        <f t="shared" si="15"/>
        <v>0</v>
      </c>
      <c r="FQ46" s="85">
        <v>50754</v>
      </c>
      <c r="FV46" s="40">
        <f t="shared" si="16"/>
        <v>0</v>
      </c>
      <c r="FX46" s="85">
        <v>50754</v>
      </c>
      <c r="GC46" s="40">
        <f t="shared" si="17"/>
        <v>0</v>
      </c>
    </row>
    <row r="47" spans="2:185" x14ac:dyDescent="0.25">
      <c r="B47" s="85">
        <v>50951</v>
      </c>
      <c r="C47" s="85"/>
      <c r="D47" s="85">
        <v>50936</v>
      </c>
      <c r="E47" s="40">
        <f t="shared" si="18"/>
        <v>0</v>
      </c>
      <c r="F47" s="40">
        <f t="shared" si="19"/>
        <v>8771937.5</v>
      </c>
      <c r="G47" s="40">
        <f t="shared" si="20"/>
        <v>0</v>
      </c>
      <c r="H47" s="40">
        <v>0</v>
      </c>
      <c r="I47" s="40">
        <f t="shared" si="21"/>
        <v>8771937.5</v>
      </c>
      <c r="J47" s="40">
        <f>SUM(I46:I47)</f>
        <v>17543875</v>
      </c>
      <c r="L47" s="85">
        <v>50936</v>
      </c>
      <c r="M47" s="40"/>
      <c r="N47" s="101"/>
      <c r="O47" s="40">
        <f t="shared" si="37"/>
        <v>0</v>
      </c>
      <c r="P47" s="40"/>
      <c r="Q47" s="40"/>
      <c r="R47" s="40">
        <f t="shared" si="22"/>
        <v>0</v>
      </c>
      <c r="T47" s="85">
        <v>50936</v>
      </c>
      <c r="U47" s="40"/>
      <c r="V47" s="101"/>
      <c r="W47" s="40">
        <f t="shared" si="23"/>
        <v>0</v>
      </c>
      <c r="X47" s="40"/>
      <c r="Y47" s="40"/>
      <c r="Z47" s="40">
        <f t="shared" si="24"/>
        <v>0</v>
      </c>
      <c r="AB47" s="85">
        <v>50936</v>
      </c>
      <c r="AC47" s="40"/>
      <c r="AD47" s="101"/>
      <c r="AE47" s="40">
        <f t="shared" si="25"/>
        <v>0</v>
      </c>
      <c r="AF47" s="40"/>
      <c r="AG47" s="40"/>
      <c r="AH47" s="40">
        <f t="shared" si="26"/>
        <v>0</v>
      </c>
      <c r="AJ47" s="85">
        <v>50936</v>
      </c>
      <c r="AK47" s="40"/>
      <c r="AL47" s="101"/>
      <c r="AM47" s="40">
        <f t="shared" si="27"/>
        <v>0</v>
      </c>
      <c r="AN47" s="40"/>
      <c r="AO47" s="40"/>
      <c r="AP47" s="40">
        <f t="shared" si="28"/>
        <v>0</v>
      </c>
      <c r="AR47" s="85">
        <v>50936</v>
      </c>
      <c r="AS47" s="40"/>
      <c r="AT47" s="101"/>
      <c r="AU47" s="40"/>
      <c r="AV47" s="101"/>
      <c r="AW47" s="40">
        <f t="shared" si="1"/>
        <v>0</v>
      </c>
      <c r="AX47" s="40"/>
      <c r="AY47" s="40"/>
      <c r="AZ47" s="40">
        <f t="shared" si="2"/>
        <v>0</v>
      </c>
      <c r="BB47" s="85">
        <v>50936</v>
      </c>
      <c r="BC47" s="40"/>
      <c r="BD47" s="101"/>
      <c r="BE47" s="40">
        <f t="shared" si="3"/>
        <v>0</v>
      </c>
      <c r="BF47" s="40"/>
      <c r="BG47" s="40">
        <f t="shared" si="4"/>
        <v>0</v>
      </c>
      <c r="BI47" s="85">
        <v>50936</v>
      </c>
      <c r="BJ47" s="40"/>
      <c r="BK47" s="40"/>
      <c r="BL47" s="40"/>
      <c r="BM47" s="40"/>
      <c r="BN47" s="40">
        <v>0</v>
      </c>
      <c r="BP47" s="85">
        <v>50936</v>
      </c>
      <c r="BQ47" s="40"/>
      <c r="BR47" s="40"/>
      <c r="BS47" s="40"/>
      <c r="BT47" s="40"/>
      <c r="BU47" s="40">
        <v>0</v>
      </c>
      <c r="BW47" s="85">
        <v>50936</v>
      </c>
      <c r="BX47" s="40"/>
      <c r="BY47" s="40"/>
      <c r="BZ47" s="40"/>
      <c r="CA47" s="40"/>
      <c r="CB47" s="40">
        <v>0</v>
      </c>
      <c r="CD47" s="85">
        <v>50936</v>
      </c>
      <c r="CE47" s="40"/>
      <c r="CF47" s="40"/>
      <c r="CG47" s="40"/>
      <c r="CH47" s="40">
        <v>0</v>
      </c>
      <c r="CJ47" s="85">
        <v>50936</v>
      </c>
      <c r="CK47" s="40"/>
      <c r="CL47" s="87">
        <v>0</v>
      </c>
      <c r="CM47" s="40">
        <f t="shared" si="29"/>
        <v>2426875</v>
      </c>
      <c r="CN47" s="40">
        <f t="shared" si="32"/>
        <v>2426875</v>
      </c>
      <c r="CP47" s="85">
        <v>50936</v>
      </c>
      <c r="CQ47" s="40"/>
      <c r="CR47" s="87"/>
      <c r="CS47" s="40">
        <f t="shared" si="30"/>
        <v>6345062.5</v>
      </c>
      <c r="CT47" s="40"/>
      <c r="CU47" s="40">
        <f t="shared" si="5"/>
        <v>6345062.5</v>
      </c>
      <c r="CV47" s="151"/>
      <c r="CW47" s="85">
        <v>50936</v>
      </c>
      <c r="CY47" s="40"/>
      <c r="CZ47" s="87"/>
      <c r="DB47" s="40">
        <v>0</v>
      </c>
      <c r="DC47" s="151"/>
      <c r="DD47" s="85">
        <v>50936</v>
      </c>
      <c r="DE47" s="40"/>
      <c r="DF47" s="87"/>
      <c r="DG47" s="40"/>
      <c r="DH47" s="87"/>
      <c r="DI47" s="40"/>
      <c r="DJ47" s="87"/>
      <c r="DK47" s="40"/>
      <c r="DL47" s="87"/>
      <c r="DM47" s="40">
        <f t="shared" si="6"/>
        <v>0</v>
      </c>
      <c r="DN47" s="40"/>
      <c r="DO47" s="40">
        <f t="shared" si="7"/>
        <v>0</v>
      </c>
      <c r="DP47" s="151"/>
      <c r="DQ47" s="85">
        <v>50936</v>
      </c>
      <c r="DR47" s="40"/>
      <c r="DS47" s="87"/>
      <c r="DT47" s="40">
        <f t="shared" si="8"/>
        <v>0</v>
      </c>
      <c r="DU47" s="40">
        <f t="shared" si="9"/>
        <v>0</v>
      </c>
      <c r="DV47" s="151"/>
      <c r="DW47" s="85">
        <v>50936</v>
      </c>
      <c r="DX47" s="40"/>
      <c r="DY47" s="40"/>
      <c r="DZ47" s="40"/>
      <c r="EA47" s="40"/>
      <c r="EB47" s="40">
        <f t="shared" si="10"/>
        <v>0</v>
      </c>
      <c r="EC47" s="40"/>
      <c r="ED47" s="85">
        <v>50936</v>
      </c>
      <c r="EI47" s="40">
        <f t="shared" si="11"/>
        <v>0</v>
      </c>
      <c r="EJ47" s="85"/>
      <c r="EK47" s="85">
        <v>50936</v>
      </c>
      <c r="EQ47" s="85">
        <v>50936</v>
      </c>
      <c r="ES47" s="101"/>
      <c r="ET47" s="40">
        <f t="shared" si="33"/>
        <v>0</v>
      </c>
      <c r="EU47" s="40">
        <f t="shared" si="12"/>
        <v>0</v>
      </c>
      <c r="EW47" s="85">
        <v>50936</v>
      </c>
      <c r="EY47" s="101"/>
      <c r="EZ47" s="40">
        <f t="shared" si="34"/>
        <v>0</v>
      </c>
      <c r="FA47" s="40">
        <f t="shared" si="13"/>
        <v>0</v>
      </c>
      <c r="FC47" s="85">
        <v>50936</v>
      </c>
      <c r="FH47" s="40">
        <f t="shared" si="14"/>
        <v>0</v>
      </c>
      <c r="FJ47" s="85">
        <v>50936</v>
      </c>
      <c r="FO47" s="40">
        <f t="shared" si="15"/>
        <v>0</v>
      </c>
      <c r="FQ47" s="85">
        <v>50936</v>
      </c>
      <c r="FV47" s="40">
        <f t="shared" si="16"/>
        <v>0</v>
      </c>
      <c r="FX47" s="85">
        <v>50936</v>
      </c>
      <c r="GC47" s="40">
        <f t="shared" si="17"/>
        <v>0</v>
      </c>
    </row>
    <row r="48" spans="2:185" x14ac:dyDescent="0.25">
      <c r="B48" s="85">
        <v>51135</v>
      </c>
      <c r="C48" s="85"/>
      <c r="D48" s="85">
        <v>51119</v>
      </c>
      <c r="E48" s="40">
        <f t="shared" si="18"/>
        <v>0</v>
      </c>
      <c r="F48" s="40">
        <f t="shared" si="19"/>
        <v>8771937.5</v>
      </c>
      <c r="G48" s="40">
        <f t="shared" si="20"/>
        <v>0</v>
      </c>
      <c r="H48" s="40">
        <v>0</v>
      </c>
      <c r="I48" s="40">
        <f t="shared" si="21"/>
        <v>8771937.5</v>
      </c>
      <c r="J48" s="40"/>
      <c r="L48" s="85">
        <v>51119</v>
      </c>
      <c r="M48" s="40"/>
      <c r="N48" s="101"/>
      <c r="O48" s="40">
        <f t="shared" si="37"/>
        <v>0</v>
      </c>
      <c r="P48" s="40"/>
      <c r="Q48" s="40"/>
      <c r="R48" s="40">
        <f t="shared" si="22"/>
        <v>0</v>
      </c>
      <c r="T48" s="85">
        <v>51119</v>
      </c>
      <c r="U48" s="40"/>
      <c r="V48" s="101"/>
      <c r="W48" s="40">
        <f t="shared" si="23"/>
        <v>0</v>
      </c>
      <c r="X48" s="40"/>
      <c r="Y48" s="40"/>
      <c r="Z48" s="40">
        <f t="shared" si="24"/>
        <v>0</v>
      </c>
      <c r="AB48" s="85">
        <v>51119</v>
      </c>
      <c r="AC48" s="40"/>
      <c r="AD48" s="101"/>
      <c r="AE48" s="40">
        <f t="shared" si="25"/>
        <v>0</v>
      </c>
      <c r="AF48" s="40"/>
      <c r="AG48" s="40"/>
      <c r="AH48" s="40">
        <f t="shared" si="26"/>
        <v>0</v>
      </c>
      <c r="AJ48" s="85">
        <v>51119</v>
      </c>
      <c r="AK48" s="40"/>
      <c r="AL48" s="101"/>
      <c r="AM48" s="40">
        <f t="shared" si="27"/>
        <v>0</v>
      </c>
      <c r="AN48" s="40"/>
      <c r="AO48" s="40"/>
      <c r="AP48" s="40">
        <f t="shared" si="28"/>
        <v>0</v>
      </c>
      <c r="AR48" s="85">
        <v>51119</v>
      </c>
      <c r="AS48" s="40"/>
      <c r="AT48" s="101"/>
      <c r="AU48" s="40"/>
      <c r="AV48" s="101"/>
      <c r="AW48" s="40">
        <f t="shared" si="1"/>
        <v>0</v>
      </c>
      <c r="AX48" s="40"/>
      <c r="AY48" s="40"/>
      <c r="AZ48" s="40">
        <f t="shared" si="2"/>
        <v>0</v>
      </c>
      <c r="BB48" s="85">
        <v>51119</v>
      </c>
      <c r="BC48" s="40"/>
      <c r="BD48" s="101"/>
      <c r="BE48" s="40">
        <f t="shared" si="3"/>
        <v>0</v>
      </c>
      <c r="BF48" s="40"/>
      <c r="BG48" s="40">
        <f t="shared" si="4"/>
        <v>0</v>
      </c>
      <c r="BI48" s="85">
        <v>51119</v>
      </c>
      <c r="BJ48" s="40"/>
      <c r="BK48" s="40"/>
      <c r="BL48" s="40"/>
      <c r="BM48" s="40"/>
      <c r="BN48" s="40">
        <v>0</v>
      </c>
      <c r="BP48" s="85">
        <v>51119</v>
      </c>
      <c r="BQ48" s="40"/>
      <c r="BR48" s="40"/>
      <c r="BS48" s="40"/>
      <c r="BT48" s="40"/>
      <c r="BU48" s="40">
        <v>0</v>
      </c>
      <c r="BW48" s="85">
        <v>51119</v>
      </c>
      <c r="BX48" s="40"/>
      <c r="BY48" s="40"/>
      <c r="BZ48" s="40"/>
      <c r="CA48" s="40"/>
      <c r="CB48" s="40">
        <v>0</v>
      </c>
      <c r="CD48" s="85">
        <v>51119</v>
      </c>
      <c r="CE48" s="40"/>
      <c r="CF48" s="40"/>
      <c r="CG48" s="40"/>
      <c r="CH48" s="40">
        <v>0</v>
      </c>
      <c r="CJ48" s="85">
        <v>51119</v>
      </c>
      <c r="CK48" s="40"/>
      <c r="CL48" s="87">
        <v>0</v>
      </c>
      <c r="CM48" s="40">
        <f t="shared" si="29"/>
        <v>2426875</v>
      </c>
      <c r="CN48" s="40">
        <f t="shared" si="32"/>
        <v>2426875</v>
      </c>
      <c r="CP48" s="85">
        <v>51119</v>
      </c>
      <c r="CQ48" s="40"/>
      <c r="CR48" s="87"/>
      <c r="CS48" s="40">
        <f t="shared" si="30"/>
        <v>6345062.5</v>
      </c>
      <c r="CT48" s="40"/>
      <c r="CU48" s="40">
        <f t="shared" si="5"/>
        <v>6345062.5</v>
      </c>
      <c r="CV48" s="151"/>
      <c r="CW48" s="85">
        <v>51119</v>
      </c>
      <c r="CY48" s="40"/>
      <c r="CZ48" s="87"/>
      <c r="DB48" s="40">
        <v>0</v>
      </c>
      <c r="DC48" s="151"/>
      <c r="DD48" s="85">
        <v>51119</v>
      </c>
      <c r="DE48" s="40"/>
      <c r="DF48" s="87"/>
      <c r="DG48" s="40"/>
      <c r="DH48" s="87"/>
      <c r="DI48" s="40"/>
      <c r="DJ48" s="87"/>
      <c r="DK48" s="40"/>
      <c r="DL48" s="87"/>
      <c r="DM48" s="40">
        <f t="shared" si="6"/>
        <v>0</v>
      </c>
      <c r="DN48" s="40"/>
      <c r="DO48" s="40">
        <f t="shared" si="7"/>
        <v>0</v>
      </c>
      <c r="DP48" s="151"/>
      <c r="DQ48" s="85">
        <v>51119</v>
      </c>
      <c r="DR48" s="40"/>
      <c r="DS48" s="87"/>
      <c r="DT48" s="40">
        <f t="shared" si="8"/>
        <v>0</v>
      </c>
      <c r="DU48" s="40">
        <f t="shared" si="9"/>
        <v>0</v>
      </c>
      <c r="DV48" s="151"/>
      <c r="DW48" s="85">
        <v>51119</v>
      </c>
      <c r="DX48" s="40"/>
      <c r="DY48" s="40"/>
      <c r="DZ48" s="40"/>
      <c r="EA48" s="40"/>
      <c r="EB48" s="40">
        <f t="shared" si="10"/>
        <v>0</v>
      </c>
      <c r="EC48" s="40"/>
      <c r="ED48" s="85">
        <v>51119</v>
      </c>
      <c r="EI48" s="40">
        <f t="shared" si="11"/>
        <v>0</v>
      </c>
      <c r="EJ48" s="85"/>
      <c r="EK48" s="85">
        <v>51119</v>
      </c>
      <c r="EQ48" s="85">
        <v>51119</v>
      </c>
      <c r="ES48" s="101"/>
      <c r="ET48" s="40">
        <f t="shared" si="33"/>
        <v>0</v>
      </c>
      <c r="EU48" s="40">
        <f t="shared" si="12"/>
        <v>0</v>
      </c>
      <c r="EW48" s="85">
        <v>51119</v>
      </c>
      <c r="EY48" s="101"/>
      <c r="EZ48" s="40">
        <f t="shared" si="34"/>
        <v>0</v>
      </c>
      <c r="FA48" s="40">
        <f t="shared" si="13"/>
        <v>0</v>
      </c>
      <c r="FC48" s="85">
        <v>51119</v>
      </c>
      <c r="FH48" s="40">
        <f t="shared" si="14"/>
        <v>0</v>
      </c>
      <c r="FJ48" s="85">
        <v>51119</v>
      </c>
      <c r="FO48" s="40">
        <f t="shared" si="15"/>
        <v>0</v>
      </c>
      <c r="FQ48" s="85">
        <v>51119</v>
      </c>
      <c r="FV48" s="40">
        <f t="shared" si="16"/>
        <v>0</v>
      </c>
      <c r="FX48" s="85">
        <v>51119</v>
      </c>
      <c r="GC48" s="40">
        <f t="shared" si="17"/>
        <v>0</v>
      </c>
    </row>
    <row r="49" spans="2:185" x14ac:dyDescent="0.25">
      <c r="B49" s="85">
        <v>51317</v>
      </c>
      <c r="C49" s="85"/>
      <c r="D49" s="85">
        <v>51302</v>
      </c>
      <c r="E49" s="40">
        <f t="shared" si="18"/>
        <v>0</v>
      </c>
      <c r="F49" s="40">
        <f t="shared" si="19"/>
        <v>8771937.5</v>
      </c>
      <c r="G49" s="40">
        <f t="shared" si="20"/>
        <v>0</v>
      </c>
      <c r="H49" s="40">
        <v>0</v>
      </c>
      <c r="I49" s="40">
        <f t="shared" si="21"/>
        <v>8771937.5</v>
      </c>
      <c r="J49" s="40">
        <f>SUM(I48:I49)</f>
        <v>17543875</v>
      </c>
      <c r="L49" s="85">
        <v>51302</v>
      </c>
      <c r="M49" s="40"/>
      <c r="N49" s="101"/>
      <c r="O49" s="40">
        <f t="shared" si="37"/>
        <v>0</v>
      </c>
      <c r="P49" s="40"/>
      <c r="Q49" s="40"/>
      <c r="R49" s="40">
        <f t="shared" si="22"/>
        <v>0</v>
      </c>
      <c r="T49" s="85">
        <v>51302</v>
      </c>
      <c r="U49" s="40"/>
      <c r="V49" s="101"/>
      <c r="W49" s="40">
        <f t="shared" si="23"/>
        <v>0</v>
      </c>
      <c r="X49" s="40"/>
      <c r="Y49" s="40"/>
      <c r="Z49" s="40">
        <f t="shared" si="24"/>
        <v>0</v>
      </c>
      <c r="AB49" s="85">
        <v>51302</v>
      </c>
      <c r="AC49" s="40"/>
      <c r="AD49" s="101"/>
      <c r="AE49" s="40">
        <f t="shared" si="25"/>
        <v>0</v>
      </c>
      <c r="AF49" s="40"/>
      <c r="AG49" s="40"/>
      <c r="AH49" s="40">
        <f t="shared" si="26"/>
        <v>0</v>
      </c>
      <c r="AJ49" s="85">
        <v>51302</v>
      </c>
      <c r="AK49" s="40"/>
      <c r="AL49" s="101"/>
      <c r="AM49" s="40">
        <f t="shared" si="27"/>
        <v>0</v>
      </c>
      <c r="AN49" s="40"/>
      <c r="AO49" s="40"/>
      <c r="AP49" s="40">
        <f t="shared" si="28"/>
        <v>0</v>
      </c>
      <c r="AR49" s="85">
        <v>51302</v>
      </c>
      <c r="AS49" s="40"/>
      <c r="AT49" s="101"/>
      <c r="AU49" s="40"/>
      <c r="AV49" s="101"/>
      <c r="AW49" s="40">
        <f t="shared" si="1"/>
        <v>0</v>
      </c>
      <c r="AX49" s="40"/>
      <c r="AY49" s="40"/>
      <c r="AZ49" s="40">
        <f t="shared" si="2"/>
        <v>0</v>
      </c>
      <c r="BB49" s="85">
        <v>51302</v>
      </c>
      <c r="BC49" s="40"/>
      <c r="BD49" s="101"/>
      <c r="BE49" s="40">
        <f>(BC49+BF49)*BD49/2+BE50</f>
        <v>0</v>
      </c>
      <c r="BF49" s="40"/>
      <c r="BG49" s="40">
        <f t="shared" si="4"/>
        <v>0</v>
      </c>
      <c r="BI49" s="85">
        <v>51302</v>
      </c>
      <c r="BJ49" s="40"/>
      <c r="BK49" s="40"/>
      <c r="BL49" s="40"/>
      <c r="BM49" s="40"/>
      <c r="BN49" s="40">
        <v>0</v>
      </c>
      <c r="BP49" s="85">
        <v>51302</v>
      </c>
      <c r="BQ49" s="40"/>
      <c r="BR49" s="40"/>
      <c r="BS49" s="40"/>
      <c r="BT49" s="40"/>
      <c r="BU49" s="40">
        <v>0</v>
      </c>
      <c r="BW49" s="85">
        <v>51302</v>
      </c>
      <c r="BX49" s="40"/>
      <c r="BY49" s="40"/>
      <c r="BZ49" s="40"/>
      <c r="CA49" s="40"/>
      <c r="CB49" s="40">
        <v>0</v>
      </c>
      <c r="CD49" s="85">
        <v>51302</v>
      </c>
      <c r="CE49" s="40"/>
      <c r="CF49" s="40"/>
      <c r="CG49" s="40"/>
      <c r="CH49" s="40">
        <v>0</v>
      </c>
      <c r="CJ49" s="85">
        <v>51302</v>
      </c>
      <c r="CK49" s="40"/>
      <c r="CL49" s="87">
        <v>0</v>
      </c>
      <c r="CM49" s="40">
        <f t="shared" si="29"/>
        <v>2426875</v>
      </c>
      <c r="CN49" s="40">
        <f t="shared" si="32"/>
        <v>2426875</v>
      </c>
      <c r="CP49" s="85">
        <v>51302</v>
      </c>
      <c r="CQ49" s="40"/>
      <c r="CR49" s="87"/>
      <c r="CS49" s="40">
        <f t="shared" si="30"/>
        <v>6345062.5</v>
      </c>
      <c r="CT49" s="40"/>
      <c r="CU49" s="40">
        <f t="shared" si="5"/>
        <v>6345062.5</v>
      </c>
      <c r="CV49" s="151"/>
      <c r="CW49" s="85">
        <v>51302</v>
      </c>
      <c r="CY49" s="40"/>
      <c r="CZ49" s="87"/>
      <c r="DB49" s="40">
        <v>0</v>
      </c>
      <c r="DC49" s="151"/>
      <c r="DD49" s="85">
        <v>51302</v>
      </c>
      <c r="DE49" s="40"/>
      <c r="DF49" s="87"/>
      <c r="DG49" s="40"/>
      <c r="DH49" s="87"/>
      <c r="DI49" s="40"/>
      <c r="DJ49" s="87"/>
      <c r="DK49" s="40"/>
      <c r="DL49" s="87"/>
      <c r="DM49" s="40">
        <f t="shared" si="6"/>
        <v>0</v>
      </c>
      <c r="DN49" s="40"/>
      <c r="DO49" s="40">
        <f t="shared" si="7"/>
        <v>0</v>
      </c>
      <c r="DP49" s="151"/>
      <c r="DQ49" s="85">
        <v>51302</v>
      </c>
      <c r="DR49" s="40"/>
      <c r="DS49" s="87"/>
      <c r="DT49" s="40">
        <f t="shared" si="8"/>
        <v>0</v>
      </c>
      <c r="DU49" s="40">
        <f t="shared" si="9"/>
        <v>0</v>
      </c>
      <c r="DV49" s="151"/>
      <c r="DW49" s="85">
        <v>51302</v>
      </c>
      <c r="DX49" s="40"/>
      <c r="DY49" s="40"/>
      <c r="DZ49" s="40"/>
      <c r="EA49" s="40"/>
      <c r="EB49" s="40">
        <f t="shared" si="10"/>
        <v>0</v>
      </c>
      <c r="EC49" s="40"/>
      <c r="ED49" s="85">
        <v>51302</v>
      </c>
      <c r="EI49" s="40">
        <f t="shared" si="11"/>
        <v>0</v>
      </c>
      <c r="EJ49" s="85"/>
      <c r="EK49" s="85">
        <v>51302</v>
      </c>
      <c r="EQ49" s="85">
        <v>51302</v>
      </c>
      <c r="ES49" s="101"/>
      <c r="ET49" s="40">
        <f t="shared" si="33"/>
        <v>0</v>
      </c>
      <c r="EU49" s="40">
        <f t="shared" si="12"/>
        <v>0</v>
      </c>
      <c r="EW49" s="85">
        <v>51302</v>
      </c>
      <c r="EY49" s="101"/>
      <c r="EZ49" s="40">
        <f t="shared" si="34"/>
        <v>0</v>
      </c>
      <c r="FA49" s="40">
        <f t="shared" si="13"/>
        <v>0</v>
      </c>
      <c r="FC49" s="85">
        <v>51302</v>
      </c>
      <c r="FH49" s="40">
        <f t="shared" si="14"/>
        <v>0</v>
      </c>
      <c r="FJ49" s="85">
        <v>51302</v>
      </c>
      <c r="FO49" s="40">
        <f t="shared" si="15"/>
        <v>0</v>
      </c>
      <c r="FQ49" s="85">
        <v>51302</v>
      </c>
      <c r="FV49" s="40">
        <f t="shared" si="16"/>
        <v>0</v>
      </c>
      <c r="FX49" s="85">
        <v>51302</v>
      </c>
      <c r="GC49" s="40">
        <f t="shared" si="17"/>
        <v>0</v>
      </c>
    </row>
    <row r="50" spans="2:185" x14ac:dyDescent="0.25">
      <c r="B50" s="85">
        <v>51501</v>
      </c>
      <c r="C50" s="85"/>
      <c r="D50" s="85">
        <v>51485</v>
      </c>
      <c r="E50" s="40">
        <f t="shared" si="18"/>
        <v>0</v>
      </c>
      <c r="F50" s="40">
        <f t="shared" si="19"/>
        <v>8771937.5</v>
      </c>
      <c r="G50" s="40">
        <f t="shared" si="20"/>
        <v>0</v>
      </c>
      <c r="H50" s="40">
        <v>0</v>
      </c>
      <c r="I50" s="40">
        <f t="shared" si="21"/>
        <v>8771937.5</v>
      </c>
      <c r="J50" s="40"/>
      <c r="L50" s="85">
        <v>51485</v>
      </c>
      <c r="M50" s="40"/>
      <c r="N50" s="101"/>
      <c r="O50" s="40">
        <f t="shared" si="37"/>
        <v>0</v>
      </c>
      <c r="P50" s="40"/>
      <c r="Q50" s="40"/>
      <c r="R50" s="40">
        <f t="shared" si="22"/>
        <v>0</v>
      </c>
      <c r="T50" s="85">
        <v>51485</v>
      </c>
      <c r="U50" s="40"/>
      <c r="V50" s="101"/>
      <c r="W50" s="40">
        <f t="shared" si="23"/>
        <v>0</v>
      </c>
      <c r="X50" s="40"/>
      <c r="Y50" s="40"/>
      <c r="Z50" s="40">
        <f t="shared" si="24"/>
        <v>0</v>
      </c>
      <c r="AB50" s="85">
        <v>51485</v>
      </c>
      <c r="AC50" s="40"/>
      <c r="AD50" s="101"/>
      <c r="AE50" s="40">
        <f t="shared" si="25"/>
        <v>0</v>
      </c>
      <c r="AF50" s="40"/>
      <c r="AG50" s="40"/>
      <c r="AH50" s="40">
        <f t="shared" si="26"/>
        <v>0</v>
      </c>
      <c r="AJ50" s="85">
        <v>51485</v>
      </c>
      <c r="AK50" s="40"/>
      <c r="AL50" s="101"/>
      <c r="AM50" s="40">
        <f t="shared" si="27"/>
        <v>0</v>
      </c>
      <c r="AN50" s="40"/>
      <c r="AO50" s="40"/>
      <c r="AP50" s="40">
        <f t="shared" si="28"/>
        <v>0</v>
      </c>
      <c r="AR50" s="85">
        <v>51485</v>
      </c>
      <c r="AS50" s="40"/>
      <c r="AT50" s="101"/>
      <c r="AU50" s="40"/>
      <c r="AV50" s="101"/>
      <c r="AW50" s="40">
        <f t="shared" si="1"/>
        <v>0</v>
      </c>
      <c r="AX50" s="40"/>
      <c r="AY50" s="40"/>
      <c r="AZ50" s="40">
        <f t="shared" si="2"/>
        <v>0</v>
      </c>
      <c r="BB50" s="85">
        <v>51485</v>
      </c>
      <c r="BC50" s="40"/>
      <c r="BD50" s="101"/>
      <c r="BE50" s="40"/>
      <c r="BF50" s="40"/>
      <c r="BG50" s="40">
        <f t="shared" si="4"/>
        <v>0</v>
      </c>
      <c r="BI50" s="85">
        <v>51485</v>
      </c>
      <c r="BJ50" s="40"/>
      <c r="BK50" s="40"/>
      <c r="BL50" s="40"/>
      <c r="BM50" s="40"/>
      <c r="BN50" s="40">
        <v>0</v>
      </c>
      <c r="BP50" s="85">
        <v>51485</v>
      </c>
      <c r="BQ50" s="40"/>
      <c r="BR50" s="40"/>
      <c r="BS50" s="40"/>
      <c r="BT50" s="40"/>
      <c r="BU50" s="40">
        <v>0</v>
      </c>
      <c r="BW50" s="85">
        <v>51485</v>
      </c>
      <c r="BX50" s="40"/>
      <c r="BY50" s="40"/>
      <c r="BZ50" s="40"/>
      <c r="CA50" s="40"/>
      <c r="CB50" s="40">
        <v>0</v>
      </c>
      <c r="CD50" s="85">
        <v>51485</v>
      </c>
      <c r="CE50" s="40"/>
      <c r="CF50" s="40"/>
      <c r="CG50" s="40"/>
      <c r="CH50" s="40">
        <v>0</v>
      </c>
      <c r="CJ50" s="85">
        <v>51485</v>
      </c>
      <c r="CK50" s="40"/>
      <c r="CL50" s="87">
        <v>0</v>
      </c>
      <c r="CM50" s="40">
        <f t="shared" si="29"/>
        <v>2426875</v>
      </c>
      <c r="CN50" s="40">
        <f t="shared" si="32"/>
        <v>2426875</v>
      </c>
      <c r="CP50" s="85">
        <v>51485</v>
      </c>
      <c r="CQ50" s="40"/>
      <c r="CR50" s="87"/>
      <c r="CS50" s="40">
        <f t="shared" si="30"/>
        <v>6345062.5</v>
      </c>
      <c r="CT50" s="40"/>
      <c r="CU50" s="40">
        <f t="shared" si="5"/>
        <v>6345062.5</v>
      </c>
      <c r="CV50" s="151"/>
      <c r="CW50" s="85">
        <v>51485</v>
      </c>
      <c r="CY50" s="40"/>
      <c r="CZ50" s="87"/>
      <c r="DB50" s="40">
        <v>0</v>
      </c>
      <c r="DC50" s="151"/>
      <c r="DD50" s="85">
        <v>51485</v>
      </c>
      <c r="DE50" s="40"/>
      <c r="DF50" s="87"/>
      <c r="DG50" s="40"/>
      <c r="DH50" s="87"/>
      <c r="DI50" s="40"/>
      <c r="DJ50" s="87"/>
      <c r="DK50" s="40"/>
      <c r="DL50" s="87"/>
      <c r="DM50" s="40">
        <f t="shared" si="6"/>
        <v>0</v>
      </c>
      <c r="DN50" s="40"/>
      <c r="DO50" s="40">
        <f t="shared" si="7"/>
        <v>0</v>
      </c>
      <c r="DP50" s="151"/>
      <c r="DQ50" s="85">
        <v>51485</v>
      </c>
      <c r="DR50" s="40"/>
      <c r="DS50" s="87"/>
      <c r="DT50" s="40">
        <f t="shared" si="8"/>
        <v>0</v>
      </c>
      <c r="DU50" s="40">
        <f t="shared" si="9"/>
        <v>0</v>
      </c>
      <c r="DV50" s="151"/>
      <c r="DW50" s="85">
        <v>51485</v>
      </c>
      <c r="DX50" s="40"/>
      <c r="DY50" s="40"/>
      <c r="DZ50" s="40"/>
      <c r="EA50" s="40"/>
      <c r="EB50" s="40">
        <f t="shared" si="10"/>
        <v>0</v>
      </c>
      <c r="EC50" s="40"/>
      <c r="ED50" s="85">
        <v>51485</v>
      </c>
      <c r="EI50" s="40">
        <f t="shared" si="11"/>
        <v>0</v>
      </c>
      <c r="EJ50" s="85"/>
      <c r="EK50" s="85">
        <v>51485</v>
      </c>
      <c r="EQ50" s="85">
        <v>51485</v>
      </c>
      <c r="ES50" s="101"/>
      <c r="ET50" s="40">
        <f t="shared" si="33"/>
        <v>0</v>
      </c>
      <c r="EU50" s="40">
        <f t="shared" si="12"/>
        <v>0</v>
      </c>
      <c r="EW50" s="85">
        <v>51485</v>
      </c>
      <c r="EY50" s="101"/>
      <c r="EZ50" s="40">
        <f t="shared" si="34"/>
        <v>0</v>
      </c>
      <c r="FA50" s="40">
        <f t="shared" si="13"/>
        <v>0</v>
      </c>
      <c r="FC50" s="85">
        <v>51485</v>
      </c>
      <c r="FH50" s="40">
        <f t="shared" si="14"/>
        <v>0</v>
      </c>
      <c r="FJ50" s="85">
        <v>51485</v>
      </c>
      <c r="FO50" s="40">
        <f t="shared" si="15"/>
        <v>0</v>
      </c>
      <c r="FQ50" s="85">
        <v>51485</v>
      </c>
      <c r="FV50" s="40">
        <f t="shared" si="16"/>
        <v>0</v>
      </c>
      <c r="FX50" s="85">
        <v>51485</v>
      </c>
      <c r="GC50" s="40">
        <f t="shared" si="17"/>
        <v>0</v>
      </c>
    </row>
    <row r="51" spans="2:185" x14ac:dyDescent="0.25">
      <c r="B51" s="85">
        <v>51682</v>
      </c>
      <c r="C51" s="85"/>
      <c r="D51" s="85">
        <v>51667</v>
      </c>
      <c r="E51" s="40">
        <f t="shared" si="18"/>
        <v>0</v>
      </c>
      <c r="F51" s="40">
        <f t="shared" si="19"/>
        <v>8771937.5</v>
      </c>
      <c r="G51" s="40">
        <f t="shared" si="20"/>
        <v>0</v>
      </c>
      <c r="H51" s="40">
        <v>0</v>
      </c>
      <c r="I51" s="40">
        <f t="shared" si="21"/>
        <v>8771937.5</v>
      </c>
      <c r="J51" s="40">
        <f>SUM(I50:I51)</f>
        <v>17543875</v>
      </c>
      <c r="L51" s="85">
        <v>51667</v>
      </c>
      <c r="M51" s="40"/>
      <c r="N51" s="101"/>
      <c r="O51" s="40">
        <f t="shared" si="37"/>
        <v>0</v>
      </c>
      <c r="P51" s="40"/>
      <c r="Q51" s="40"/>
      <c r="R51" s="40">
        <f t="shared" si="22"/>
        <v>0</v>
      </c>
      <c r="T51" s="85">
        <v>51667</v>
      </c>
      <c r="U51" s="40"/>
      <c r="V51" s="101"/>
      <c r="W51" s="40">
        <f t="shared" si="23"/>
        <v>0</v>
      </c>
      <c r="X51" s="40"/>
      <c r="Y51" s="40"/>
      <c r="Z51" s="40">
        <f t="shared" si="24"/>
        <v>0</v>
      </c>
      <c r="AB51" s="85">
        <v>51667</v>
      </c>
      <c r="AC51" s="40"/>
      <c r="AD51" s="101"/>
      <c r="AE51" s="40">
        <f t="shared" si="25"/>
        <v>0</v>
      </c>
      <c r="AF51" s="40"/>
      <c r="AG51" s="40"/>
      <c r="AH51" s="40">
        <f t="shared" si="26"/>
        <v>0</v>
      </c>
      <c r="AJ51" s="85">
        <v>51667</v>
      </c>
      <c r="AK51" s="40"/>
      <c r="AL51" s="101"/>
      <c r="AM51" s="40">
        <f t="shared" si="27"/>
        <v>0</v>
      </c>
      <c r="AN51" s="40"/>
      <c r="AO51" s="40"/>
      <c r="AP51" s="40">
        <f t="shared" si="28"/>
        <v>0</v>
      </c>
      <c r="AR51" s="85">
        <v>51667</v>
      </c>
      <c r="AS51" s="40"/>
      <c r="AT51" s="101"/>
      <c r="AU51" s="40"/>
      <c r="AV51" s="101"/>
      <c r="AW51" s="40">
        <f t="shared" si="1"/>
        <v>0</v>
      </c>
      <c r="AX51" s="40"/>
      <c r="AY51" s="40"/>
      <c r="AZ51" s="40">
        <f t="shared" si="2"/>
        <v>0</v>
      </c>
      <c r="BB51" s="85">
        <v>51667</v>
      </c>
      <c r="BC51" s="40"/>
      <c r="BD51" s="101"/>
      <c r="BE51" s="40"/>
      <c r="BF51" s="40"/>
      <c r="BG51" s="40">
        <f t="shared" si="4"/>
        <v>0</v>
      </c>
      <c r="BI51" s="85">
        <v>51667</v>
      </c>
      <c r="BJ51" s="40"/>
      <c r="BK51" s="40"/>
      <c r="BL51" s="40"/>
      <c r="BM51" s="40"/>
      <c r="BN51" s="40">
        <v>0</v>
      </c>
      <c r="BP51" s="85">
        <v>51667</v>
      </c>
      <c r="BQ51" s="40"/>
      <c r="BR51" s="40"/>
      <c r="BS51" s="40"/>
      <c r="BT51" s="40"/>
      <c r="BU51" s="40">
        <v>0</v>
      </c>
      <c r="BW51" s="85">
        <v>51667</v>
      </c>
      <c r="BX51" s="40"/>
      <c r="BY51" s="40"/>
      <c r="BZ51" s="40"/>
      <c r="CA51" s="40"/>
      <c r="CB51" s="40">
        <v>0</v>
      </c>
      <c r="CD51" s="85">
        <v>51667</v>
      </c>
      <c r="CE51" s="40"/>
      <c r="CF51" s="40"/>
      <c r="CG51" s="40"/>
      <c r="CH51" s="40">
        <v>0</v>
      </c>
      <c r="CJ51" s="85">
        <v>51667</v>
      </c>
      <c r="CK51" s="40"/>
      <c r="CL51" s="87">
        <v>0</v>
      </c>
      <c r="CM51" s="40">
        <f t="shared" si="29"/>
        <v>2426875</v>
      </c>
      <c r="CN51" s="40">
        <f t="shared" si="32"/>
        <v>2426875</v>
      </c>
      <c r="CP51" s="85">
        <v>51667</v>
      </c>
      <c r="CQ51" s="40"/>
      <c r="CR51" s="87"/>
      <c r="CS51" s="40">
        <f t="shared" si="30"/>
        <v>6345062.5</v>
      </c>
      <c r="CT51" s="40"/>
      <c r="CU51" s="40">
        <f t="shared" si="5"/>
        <v>6345062.5</v>
      </c>
      <c r="CV51" s="151"/>
      <c r="CW51" s="85">
        <v>51667</v>
      </c>
      <c r="CY51" s="40"/>
      <c r="CZ51" s="87"/>
      <c r="DB51" s="40">
        <v>0</v>
      </c>
      <c r="DC51" s="151"/>
      <c r="DD51" s="85">
        <v>51667</v>
      </c>
      <c r="DE51" s="40"/>
      <c r="DF51" s="87"/>
      <c r="DG51" s="40"/>
      <c r="DH51" s="87"/>
      <c r="DI51" s="40"/>
      <c r="DJ51" s="87"/>
      <c r="DK51" s="40"/>
      <c r="DL51" s="87"/>
      <c r="DM51" s="40">
        <f t="shared" si="6"/>
        <v>0</v>
      </c>
      <c r="DN51" s="40"/>
      <c r="DO51" s="40">
        <f t="shared" si="7"/>
        <v>0</v>
      </c>
      <c r="DP51" s="151"/>
      <c r="DQ51" s="85">
        <v>51667</v>
      </c>
      <c r="DR51" s="40"/>
      <c r="DS51" s="87"/>
      <c r="DT51" s="40">
        <f t="shared" si="8"/>
        <v>0</v>
      </c>
      <c r="DU51" s="40">
        <f t="shared" si="9"/>
        <v>0</v>
      </c>
      <c r="DV51" s="151"/>
      <c r="DW51" s="85">
        <v>51667</v>
      </c>
      <c r="DX51" s="40"/>
      <c r="DY51" s="40"/>
      <c r="DZ51" s="40"/>
      <c r="EA51" s="40"/>
      <c r="EB51" s="40">
        <f t="shared" si="10"/>
        <v>0</v>
      </c>
      <c r="EC51" s="40"/>
      <c r="ED51" s="85">
        <v>51667</v>
      </c>
      <c r="EI51" s="40">
        <f t="shared" si="11"/>
        <v>0</v>
      </c>
      <c r="EJ51" s="85"/>
      <c r="EK51" s="85">
        <v>51667</v>
      </c>
      <c r="EQ51" s="85">
        <v>51667</v>
      </c>
      <c r="ES51" s="101"/>
      <c r="ET51" s="40">
        <f t="shared" si="33"/>
        <v>0</v>
      </c>
      <c r="EU51" s="40">
        <f t="shared" si="12"/>
        <v>0</v>
      </c>
      <c r="EW51" s="85">
        <v>51667</v>
      </c>
      <c r="EY51" s="101"/>
      <c r="EZ51" s="40">
        <f t="shared" si="34"/>
        <v>0</v>
      </c>
      <c r="FA51" s="40">
        <f t="shared" si="13"/>
        <v>0</v>
      </c>
      <c r="FC51" s="85">
        <v>51667</v>
      </c>
      <c r="FH51" s="40">
        <f t="shared" si="14"/>
        <v>0</v>
      </c>
      <c r="FJ51" s="85">
        <v>51667</v>
      </c>
      <c r="FO51" s="40">
        <f t="shared" si="15"/>
        <v>0</v>
      </c>
      <c r="FQ51" s="85">
        <v>51667</v>
      </c>
      <c r="FV51" s="40">
        <f t="shared" si="16"/>
        <v>0</v>
      </c>
      <c r="FX51" s="85">
        <v>51667</v>
      </c>
      <c r="GC51" s="40">
        <f t="shared" si="17"/>
        <v>0</v>
      </c>
    </row>
    <row r="52" spans="2:185" x14ac:dyDescent="0.25">
      <c r="B52" s="85">
        <v>51866</v>
      </c>
      <c r="C52" s="85"/>
      <c r="D52" s="85">
        <v>51850</v>
      </c>
      <c r="E52" s="40">
        <f t="shared" si="18"/>
        <v>109360000</v>
      </c>
      <c r="F52" s="40">
        <f t="shared" si="19"/>
        <v>8771937.5</v>
      </c>
      <c r="G52" s="40">
        <f t="shared" si="20"/>
        <v>0</v>
      </c>
      <c r="H52" s="40">
        <v>0</v>
      </c>
      <c r="I52" s="40">
        <f t="shared" si="21"/>
        <v>118131937.5</v>
      </c>
      <c r="J52" s="40"/>
      <c r="L52" s="85">
        <v>51850</v>
      </c>
      <c r="M52" s="40"/>
      <c r="N52" s="101"/>
      <c r="O52" s="40">
        <f t="shared" si="37"/>
        <v>0</v>
      </c>
      <c r="P52" s="40"/>
      <c r="Q52" s="40"/>
      <c r="R52" s="40">
        <f t="shared" si="22"/>
        <v>0</v>
      </c>
      <c r="T52" s="85">
        <v>51850</v>
      </c>
      <c r="U52" s="40"/>
      <c r="V52" s="101"/>
      <c r="W52" s="40">
        <f t="shared" si="23"/>
        <v>0</v>
      </c>
      <c r="X52" s="40"/>
      <c r="Y52" s="40"/>
      <c r="Z52" s="40">
        <f t="shared" si="24"/>
        <v>0</v>
      </c>
      <c r="AB52" s="85">
        <v>51850</v>
      </c>
      <c r="AC52" s="40"/>
      <c r="AD52" s="101"/>
      <c r="AE52" s="40">
        <f t="shared" si="25"/>
        <v>0</v>
      </c>
      <c r="AF52" s="40"/>
      <c r="AG52" s="40"/>
      <c r="AH52" s="40">
        <f t="shared" si="26"/>
        <v>0</v>
      </c>
      <c r="AJ52" s="85">
        <v>51850</v>
      </c>
      <c r="AK52" s="40"/>
      <c r="AL52" s="101"/>
      <c r="AM52" s="40">
        <f t="shared" si="27"/>
        <v>0</v>
      </c>
      <c r="AN52" s="40"/>
      <c r="AO52" s="40"/>
      <c r="AP52" s="40">
        <f t="shared" si="28"/>
        <v>0</v>
      </c>
      <c r="AR52" s="85">
        <v>51850</v>
      </c>
      <c r="AS52" s="40"/>
      <c r="AT52" s="101"/>
      <c r="AU52" s="40"/>
      <c r="AV52" s="101"/>
      <c r="AW52" s="40">
        <f t="shared" si="1"/>
        <v>0</v>
      </c>
      <c r="AX52" s="40"/>
      <c r="AY52" s="40"/>
      <c r="AZ52" s="40">
        <f t="shared" si="2"/>
        <v>0</v>
      </c>
      <c r="BB52" s="85">
        <v>51850</v>
      </c>
      <c r="BC52" s="40"/>
      <c r="BD52" s="101"/>
      <c r="BE52" s="40"/>
      <c r="BF52" s="40"/>
      <c r="BG52" s="40">
        <f t="shared" si="4"/>
        <v>0</v>
      </c>
      <c r="BI52" s="85">
        <v>51850</v>
      </c>
      <c r="BJ52" s="40"/>
      <c r="BK52" s="40"/>
      <c r="BL52" s="40"/>
      <c r="BM52" s="40"/>
      <c r="BN52" s="40">
        <v>0</v>
      </c>
      <c r="BP52" s="85">
        <v>51850</v>
      </c>
      <c r="BQ52" s="40"/>
      <c r="BR52" s="40"/>
      <c r="BS52" s="40"/>
      <c r="BT52" s="40"/>
      <c r="BU52" s="40">
        <v>0</v>
      </c>
      <c r="BW52" s="85">
        <v>51850</v>
      </c>
      <c r="BX52" s="40"/>
      <c r="BY52" s="40"/>
      <c r="BZ52" s="40"/>
      <c r="CA52" s="40"/>
      <c r="CB52" s="40">
        <v>0</v>
      </c>
      <c r="CD52" s="85">
        <v>51850</v>
      </c>
      <c r="CE52" s="40"/>
      <c r="CF52" s="40"/>
      <c r="CG52" s="40"/>
      <c r="CH52" s="40">
        <v>0</v>
      </c>
      <c r="CJ52" s="85">
        <v>51850</v>
      </c>
      <c r="CK52" s="40">
        <v>48535000</v>
      </c>
      <c r="CL52" s="87">
        <v>0.05</v>
      </c>
      <c r="CM52" s="40">
        <f t="shared" ref="CM52:CM53" si="38">((CK52*CL52)/2)+CM53</f>
        <v>2426875</v>
      </c>
      <c r="CN52" s="40">
        <f t="shared" si="32"/>
        <v>50961875</v>
      </c>
      <c r="CP52" s="85">
        <v>51850</v>
      </c>
      <c r="CQ52" s="40">
        <v>60825000</v>
      </c>
      <c r="CR52" s="87">
        <v>4.2500000000000003E-2</v>
      </c>
      <c r="CS52" s="40">
        <f t="shared" si="30"/>
        <v>6345062.5</v>
      </c>
      <c r="CT52" s="40"/>
      <c r="CU52" s="40">
        <f t="shared" si="5"/>
        <v>67170062.5</v>
      </c>
      <c r="CV52" s="151"/>
      <c r="CW52" s="85">
        <v>51850</v>
      </c>
      <c r="CY52" s="40"/>
      <c r="CZ52" s="87"/>
      <c r="DB52" s="40">
        <v>0</v>
      </c>
      <c r="DC52" s="151"/>
      <c r="DD52" s="85">
        <v>51850</v>
      </c>
      <c r="DE52" s="40"/>
      <c r="DF52" s="87"/>
      <c r="DG52" s="40"/>
      <c r="DH52" s="87"/>
      <c r="DI52" s="40"/>
      <c r="DJ52" s="87"/>
      <c r="DK52" s="40"/>
      <c r="DL52" s="87"/>
      <c r="DM52" s="40">
        <f t="shared" si="6"/>
        <v>0</v>
      </c>
      <c r="DN52" s="40"/>
      <c r="DO52" s="40">
        <f t="shared" si="7"/>
        <v>0</v>
      </c>
      <c r="DP52" s="151"/>
      <c r="DQ52" s="85">
        <v>51850</v>
      </c>
      <c r="DR52" s="40"/>
      <c r="DS52" s="87"/>
      <c r="DT52" s="40">
        <f t="shared" si="8"/>
        <v>0</v>
      </c>
      <c r="DU52" s="40">
        <f t="shared" si="9"/>
        <v>0</v>
      </c>
      <c r="DV52" s="151"/>
      <c r="DW52" s="85">
        <v>51850</v>
      </c>
      <c r="DX52" s="40"/>
      <c r="DY52" s="40"/>
      <c r="DZ52" s="40"/>
      <c r="EA52" s="40"/>
      <c r="EB52" s="40">
        <f t="shared" si="10"/>
        <v>0</v>
      </c>
      <c r="EC52" s="40"/>
      <c r="ED52" s="85">
        <v>51850</v>
      </c>
      <c r="EI52" s="40">
        <f t="shared" si="11"/>
        <v>0</v>
      </c>
      <c r="EJ52" s="85"/>
      <c r="EK52" s="85">
        <v>51850</v>
      </c>
      <c r="EQ52" s="85">
        <v>51850</v>
      </c>
      <c r="ES52" s="101"/>
      <c r="ET52" s="40">
        <f t="shared" si="33"/>
        <v>0</v>
      </c>
      <c r="EU52" s="40">
        <f t="shared" si="12"/>
        <v>0</v>
      </c>
      <c r="EW52" s="85">
        <v>51850</v>
      </c>
      <c r="EY52" s="101"/>
      <c r="EZ52" s="40">
        <f t="shared" si="34"/>
        <v>0</v>
      </c>
      <c r="FA52" s="40">
        <f t="shared" si="13"/>
        <v>0</v>
      </c>
      <c r="FC52" s="85">
        <v>51850</v>
      </c>
      <c r="FH52" s="40">
        <f t="shared" si="14"/>
        <v>0</v>
      </c>
      <c r="FJ52" s="85">
        <v>51850</v>
      </c>
      <c r="FO52" s="40">
        <f t="shared" si="15"/>
        <v>0</v>
      </c>
      <c r="FQ52" s="85">
        <v>51850</v>
      </c>
      <c r="FV52" s="40">
        <f t="shared" si="16"/>
        <v>0</v>
      </c>
      <c r="FX52" s="85">
        <v>51850</v>
      </c>
      <c r="GC52" s="40">
        <f t="shared" si="17"/>
        <v>0</v>
      </c>
    </row>
    <row r="53" spans="2:185" x14ac:dyDescent="0.25">
      <c r="B53" s="85">
        <v>52047</v>
      </c>
      <c r="C53" s="85"/>
      <c r="D53" s="85">
        <v>52032</v>
      </c>
      <c r="E53" s="40">
        <f t="shared" si="18"/>
        <v>109365000</v>
      </c>
      <c r="F53" s="40">
        <f t="shared" si="19"/>
        <v>6266031.25</v>
      </c>
      <c r="G53" s="40">
        <f t="shared" si="20"/>
        <v>0</v>
      </c>
      <c r="H53" s="40">
        <v>0</v>
      </c>
      <c r="I53" s="40">
        <f t="shared" si="21"/>
        <v>115631031.25</v>
      </c>
      <c r="J53" s="40">
        <f>SUM(I52:I53)</f>
        <v>233762968.75</v>
      </c>
      <c r="L53" s="85">
        <v>52032</v>
      </c>
      <c r="M53" s="40"/>
      <c r="N53" s="101"/>
      <c r="O53" s="40">
        <f t="shared" si="37"/>
        <v>0</v>
      </c>
      <c r="P53" s="40"/>
      <c r="Q53" s="40"/>
      <c r="R53" s="40">
        <f t="shared" si="22"/>
        <v>0</v>
      </c>
      <c r="T53" s="85">
        <v>52032</v>
      </c>
      <c r="U53" s="40"/>
      <c r="V53" s="101"/>
      <c r="W53" s="40">
        <f t="shared" si="23"/>
        <v>0</v>
      </c>
      <c r="X53" s="40"/>
      <c r="Y53" s="40"/>
      <c r="Z53" s="40">
        <f t="shared" si="24"/>
        <v>0</v>
      </c>
      <c r="AB53" s="85">
        <v>52032</v>
      </c>
      <c r="AC53" s="40"/>
      <c r="AD53" s="101"/>
      <c r="AE53" s="40">
        <f t="shared" si="25"/>
        <v>0</v>
      </c>
      <c r="AF53" s="40"/>
      <c r="AG53" s="40"/>
      <c r="AH53" s="40">
        <f t="shared" si="26"/>
        <v>0</v>
      </c>
      <c r="AJ53" s="85">
        <v>52032</v>
      </c>
      <c r="AK53" s="40"/>
      <c r="AL53" s="101"/>
      <c r="AM53" s="40">
        <f t="shared" si="27"/>
        <v>0</v>
      </c>
      <c r="AN53" s="40"/>
      <c r="AO53" s="40"/>
      <c r="AP53" s="40">
        <f t="shared" si="28"/>
        <v>0</v>
      </c>
      <c r="AR53" s="85">
        <v>52032</v>
      </c>
      <c r="AS53" s="40"/>
      <c r="AT53" s="101"/>
      <c r="AU53" s="40"/>
      <c r="AV53" s="101"/>
      <c r="AW53" s="40">
        <f t="shared" si="1"/>
        <v>0</v>
      </c>
      <c r="AX53" s="40"/>
      <c r="AY53" s="40"/>
      <c r="AZ53" s="40">
        <f t="shared" si="2"/>
        <v>0</v>
      </c>
      <c r="BB53" s="85">
        <v>52032</v>
      </c>
      <c r="BC53" s="40"/>
      <c r="BD53" s="40"/>
      <c r="BE53" s="40"/>
      <c r="BF53" s="40"/>
      <c r="BG53" s="40">
        <f t="shared" si="4"/>
        <v>0</v>
      </c>
      <c r="BI53" s="85">
        <v>52032</v>
      </c>
      <c r="BJ53" s="40"/>
      <c r="BK53" s="40"/>
      <c r="BL53" s="40"/>
      <c r="BM53" s="40"/>
      <c r="BN53" s="40">
        <v>0</v>
      </c>
      <c r="BP53" s="85">
        <v>52032</v>
      </c>
      <c r="BQ53" s="40"/>
      <c r="BR53" s="40"/>
      <c r="BS53" s="40"/>
      <c r="BT53" s="40"/>
      <c r="BU53" s="40">
        <v>0</v>
      </c>
      <c r="BW53" s="85">
        <v>52032</v>
      </c>
      <c r="BX53" s="40"/>
      <c r="BY53" s="40"/>
      <c r="BZ53" s="40"/>
      <c r="CA53" s="40"/>
      <c r="CB53" s="40">
        <v>0</v>
      </c>
      <c r="CD53" s="85">
        <v>52032</v>
      </c>
      <c r="CE53" s="40"/>
      <c r="CF53" s="40"/>
      <c r="CG53" s="40"/>
      <c r="CH53" s="40">
        <v>0</v>
      </c>
      <c r="CJ53" s="85">
        <v>52032</v>
      </c>
      <c r="CK53" s="40">
        <v>48540000</v>
      </c>
      <c r="CL53" s="87">
        <v>0.05</v>
      </c>
      <c r="CM53" s="40">
        <f t="shared" si="38"/>
        <v>1213500</v>
      </c>
      <c r="CN53" s="40">
        <f t="shared" si="32"/>
        <v>49753500</v>
      </c>
      <c r="CP53" s="85">
        <v>52032</v>
      </c>
      <c r="CQ53" s="40">
        <v>60825000</v>
      </c>
      <c r="CR53" s="87">
        <v>4.2500000000000003E-2</v>
      </c>
      <c r="CS53" s="40">
        <f t="shared" si="30"/>
        <v>5052531.25</v>
      </c>
      <c r="CT53" s="40"/>
      <c r="CU53" s="40">
        <f t="shared" si="5"/>
        <v>65877531.25</v>
      </c>
      <c r="CV53" s="151"/>
      <c r="CW53" s="85">
        <v>52032</v>
      </c>
      <c r="CY53" s="40"/>
      <c r="CZ53" s="87"/>
      <c r="DB53" s="40">
        <v>0</v>
      </c>
      <c r="DC53" s="151"/>
      <c r="DD53" s="85">
        <v>52032</v>
      </c>
      <c r="DE53" s="40"/>
      <c r="DF53" s="87"/>
      <c r="DG53" s="40"/>
      <c r="DH53" s="87"/>
      <c r="DI53" s="40"/>
      <c r="DJ53" s="87"/>
      <c r="DK53" s="40"/>
      <c r="DL53" s="87"/>
      <c r="DM53" s="40">
        <f t="shared" si="6"/>
        <v>0</v>
      </c>
      <c r="DN53" s="40"/>
      <c r="DO53" s="40">
        <f t="shared" si="7"/>
        <v>0</v>
      </c>
      <c r="DP53" s="151"/>
      <c r="DQ53" s="85">
        <v>52032</v>
      </c>
      <c r="DR53" s="40"/>
      <c r="DS53" s="87"/>
      <c r="DT53" s="40">
        <f t="shared" si="8"/>
        <v>0</v>
      </c>
      <c r="DU53" s="40">
        <f t="shared" si="9"/>
        <v>0</v>
      </c>
      <c r="DV53" s="151"/>
      <c r="DW53" s="85">
        <v>52032</v>
      </c>
      <c r="DX53" s="40"/>
      <c r="DY53" s="40"/>
      <c r="DZ53" s="40"/>
      <c r="EA53" s="40"/>
      <c r="EB53" s="40">
        <f t="shared" si="10"/>
        <v>0</v>
      </c>
      <c r="EC53" s="40"/>
      <c r="ED53" s="85">
        <v>52032</v>
      </c>
      <c r="EI53" s="40">
        <f t="shared" si="11"/>
        <v>0</v>
      </c>
      <c r="EJ53" s="85"/>
      <c r="EK53" s="85">
        <v>52032</v>
      </c>
      <c r="EQ53" s="85">
        <v>52032</v>
      </c>
      <c r="ES53" s="101"/>
      <c r="ET53" s="40">
        <f t="shared" si="33"/>
        <v>0</v>
      </c>
      <c r="EU53" s="40">
        <f t="shared" si="12"/>
        <v>0</v>
      </c>
      <c r="EW53" s="85">
        <v>52032</v>
      </c>
      <c r="EY53" s="101"/>
      <c r="EZ53" s="40">
        <f t="shared" si="34"/>
        <v>0</v>
      </c>
      <c r="FA53" s="40">
        <f t="shared" si="13"/>
        <v>0</v>
      </c>
      <c r="FC53" s="85">
        <v>52032</v>
      </c>
      <c r="FH53" s="40">
        <f t="shared" si="14"/>
        <v>0</v>
      </c>
      <c r="FJ53" s="85">
        <v>52032</v>
      </c>
      <c r="FO53" s="40">
        <f t="shared" si="15"/>
        <v>0</v>
      </c>
      <c r="FQ53" s="85">
        <v>52032</v>
      </c>
      <c r="FV53" s="40">
        <f t="shared" si="16"/>
        <v>0</v>
      </c>
      <c r="FX53" s="85">
        <v>52032</v>
      </c>
      <c r="GC53" s="40">
        <f t="shared" si="17"/>
        <v>0</v>
      </c>
    </row>
    <row r="54" spans="2:185" x14ac:dyDescent="0.25">
      <c r="B54" s="85">
        <v>52231</v>
      </c>
      <c r="C54" s="85"/>
      <c r="D54" s="85">
        <v>52215</v>
      </c>
      <c r="E54" s="40">
        <f t="shared" si="18"/>
        <v>0</v>
      </c>
      <c r="F54" s="40">
        <f t="shared" si="19"/>
        <v>3760000</v>
      </c>
      <c r="G54" s="40">
        <f t="shared" si="20"/>
        <v>0</v>
      </c>
      <c r="H54" s="40">
        <v>0</v>
      </c>
      <c r="I54" s="40">
        <f t="shared" si="21"/>
        <v>3760000</v>
      </c>
      <c r="J54" s="40"/>
      <c r="L54" s="85">
        <v>52215</v>
      </c>
      <c r="M54" s="40"/>
      <c r="N54" s="101"/>
      <c r="O54" s="40">
        <f t="shared" si="37"/>
        <v>0</v>
      </c>
      <c r="P54" s="40"/>
      <c r="Q54" s="40"/>
      <c r="R54" s="40">
        <f t="shared" si="22"/>
        <v>0</v>
      </c>
      <c r="T54" s="85">
        <v>52215</v>
      </c>
      <c r="U54" s="40"/>
      <c r="V54" s="101"/>
      <c r="W54" s="40">
        <f t="shared" si="23"/>
        <v>0</v>
      </c>
      <c r="X54" s="40"/>
      <c r="Y54" s="40"/>
      <c r="Z54" s="40">
        <f t="shared" si="24"/>
        <v>0</v>
      </c>
      <c r="AB54" s="85">
        <v>52215</v>
      </c>
      <c r="AC54" s="40"/>
      <c r="AD54" s="101"/>
      <c r="AE54" s="40">
        <f t="shared" si="25"/>
        <v>0</v>
      </c>
      <c r="AF54" s="40"/>
      <c r="AG54" s="40"/>
      <c r="AH54" s="40">
        <f t="shared" si="26"/>
        <v>0</v>
      </c>
      <c r="AJ54" s="85">
        <v>52215</v>
      </c>
      <c r="AK54" s="40"/>
      <c r="AL54" s="101"/>
      <c r="AM54" s="40">
        <f t="shared" si="27"/>
        <v>0</v>
      </c>
      <c r="AN54" s="40"/>
      <c r="AO54" s="40"/>
      <c r="AP54" s="40">
        <f t="shared" si="28"/>
        <v>0</v>
      </c>
      <c r="AR54" s="85">
        <v>52215</v>
      </c>
      <c r="AS54" s="40"/>
      <c r="AT54" s="101"/>
      <c r="AU54" s="40"/>
      <c r="AV54" s="101"/>
      <c r="AW54" s="40">
        <f t="shared" si="1"/>
        <v>0</v>
      </c>
      <c r="AX54" s="40"/>
      <c r="AY54" s="40"/>
      <c r="AZ54" s="40">
        <f t="shared" si="2"/>
        <v>0</v>
      </c>
      <c r="BB54" s="85">
        <v>52215</v>
      </c>
      <c r="BC54" s="40"/>
      <c r="BD54" s="40"/>
      <c r="BE54" s="40"/>
      <c r="BF54" s="40"/>
      <c r="BG54" s="40">
        <f t="shared" si="4"/>
        <v>0</v>
      </c>
      <c r="BI54" s="85">
        <v>52215</v>
      </c>
      <c r="BJ54" s="40"/>
      <c r="BK54" s="40"/>
      <c r="BL54" s="40"/>
      <c r="BM54" s="40"/>
      <c r="BN54" s="40">
        <v>0</v>
      </c>
      <c r="BP54" s="85">
        <v>52215</v>
      </c>
      <c r="BQ54" s="40"/>
      <c r="BR54" s="40"/>
      <c r="BS54" s="40"/>
      <c r="BT54" s="40"/>
      <c r="BU54" s="40">
        <v>0</v>
      </c>
      <c r="BW54" s="85">
        <v>52215</v>
      </c>
      <c r="BX54" s="40"/>
      <c r="BY54" s="40"/>
      <c r="BZ54" s="40"/>
      <c r="CA54" s="40"/>
      <c r="CB54" s="40">
        <v>0</v>
      </c>
      <c r="CD54" s="85">
        <v>52215</v>
      </c>
      <c r="CE54" s="40"/>
      <c r="CF54" s="40"/>
      <c r="CG54" s="40"/>
      <c r="CH54" s="40">
        <v>0</v>
      </c>
      <c r="CJ54" s="85">
        <v>52215</v>
      </c>
      <c r="CK54" s="40"/>
      <c r="CL54" s="87">
        <v>0</v>
      </c>
      <c r="CM54" s="40"/>
      <c r="CN54" s="40">
        <v>0</v>
      </c>
      <c r="CP54" s="85">
        <v>52215</v>
      </c>
      <c r="CQ54" s="40"/>
      <c r="CR54" s="87"/>
      <c r="CS54" s="40">
        <f t="shared" si="30"/>
        <v>3760000</v>
      </c>
      <c r="CT54" s="40"/>
      <c r="CU54" s="40">
        <f t="shared" si="5"/>
        <v>3760000</v>
      </c>
      <c r="CV54" s="151"/>
      <c r="CW54" s="85">
        <v>52215</v>
      </c>
      <c r="CY54" s="40"/>
      <c r="CZ54" s="87"/>
      <c r="DB54" s="40">
        <v>0</v>
      </c>
      <c r="DC54" s="151"/>
      <c r="DD54" s="85">
        <v>52215</v>
      </c>
      <c r="DE54" s="40"/>
      <c r="DF54" s="87"/>
      <c r="DG54" s="40"/>
      <c r="DH54" s="87"/>
      <c r="DI54" s="40"/>
      <c r="DJ54" s="87"/>
      <c r="DK54" s="40"/>
      <c r="DL54" s="87"/>
      <c r="DM54" s="40">
        <f t="shared" si="6"/>
        <v>0</v>
      </c>
      <c r="DN54" s="40"/>
      <c r="DO54" s="40">
        <f t="shared" si="7"/>
        <v>0</v>
      </c>
      <c r="DP54" s="151"/>
      <c r="DQ54" s="85">
        <v>52215</v>
      </c>
      <c r="DR54" s="40"/>
      <c r="DS54" s="87"/>
      <c r="DT54" s="40">
        <f t="shared" si="8"/>
        <v>0</v>
      </c>
      <c r="DU54" s="40">
        <f t="shared" si="9"/>
        <v>0</v>
      </c>
      <c r="DV54" s="151"/>
      <c r="DW54" s="85">
        <v>52215</v>
      </c>
      <c r="DX54" s="40"/>
      <c r="DY54" s="40"/>
      <c r="DZ54" s="40"/>
      <c r="EA54" s="40"/>
      <c r="EB54" s="40">
        <f t="shared" si="10"/>
        <v>0</v>
      </c>
      <c r="EC54" s="40"/>
      <c r="ED54" s="85">
        <v>52215</v>
      </c>
      <c r="EI54" s="40">
        <f t="shared" si="11"/>
        <v>0</v>
      </c>
      <c r="EJ54" s="85"/>
      <c r="EK54" s="85">
        <v>52215</v>
      </c>
      <c r="EQ54" s="85">
        <v>52215</v>
      </c>
      <c r="ES54" s="101"/>
      <c r="ET54" s="40">
        <f t="shared" si="33"/>
        <v>0</v>
      </c>
      <c r="EU54" s="40">
        <f t="shared" si="12"/>
        <v>0</v>
      </c>
      <c r="EW54" s="85">
        <v>52215</v>
      </c>
      <c r="EY54" s="101"/>
      <c r="EZ54" s="40">
        <f t="shared" si="34"/>
        <v>0</v>
      </c>
      <c r="FA54" s="40">
        <f t="shared" si="13"/>
        <v>0</v>
      </c>
      <c r="FC54" s="85">
        <v>52215</v>
      </c>
      <c r="FH54" s="40">
        <f t="shared" si="14"/>
        <v>0</v>
      </c>
      <c r="FJ54" s="85">
        <v>52215</v>
      </c>
      <c r="FO54" s="40">
        <f t="shared" si="15"/>
        <v>0</v>
      </c>
      <c r="FQ54" s="85">
        <v>52215</v>
      </c>
      <c r="FV54" s="40">
        <f t="shared" si="16"/>
        <v>0</v>
      </c>
      <c r="FX54" s="85">
        <v>52215</v>
      </c>
      <c r="GC54" s="40">
        <f t="shared" si="17"/>
        <v>0</v>
      </c>
    </row>
    <row r="55" spans="2:185" x14ac:dyDescent="0.25">
      <c r="B55" s="85">
        <v>52412</v>
      </c>
      <c r="C55" s="85"/>
      <c r="D55" s="85">
        <v>52397</v>
      </c>
      <c r="E55" s="40">
        <f t="shared" si="18"/>
        <v>0</v>
      </c>
      <c r="F55" s="40">
        <f t="shared" si="19"/>
        <v>3760000</v>
      </c>
      <c r="G55" s="40">
        <f t="shared" si="20"/>
        <v>0</v>
      </c>
      <c r="H55" s="40">
        <v>0</v>
      </c>
      <c r="I55" s="40">
        <f t="shared" si="21"/>
        <v>3760000</v>
      </c>
      <c r="J55" s="40">
        <f>SUM(I54:I55)</f>
        <v>7520000</v>
      </c>
      <c r="L55" s="85">
        <v>52397</v>
      </c>
      <c r="M55" s="40"/>
      <c r="N55" s="101"/>
      <c r="O55" s="40">
        <f t="shared" si="37"/>
        <v>0</v>
      </c>
      <c r="P55" s="40"/>
      <c r="Q55" s="40"/>
      <c r="R55" s="40">
        <f t="shared" si="22"/>
        <v>0</v>
      </c>
      <c r="T55" s="85">
        <v>52397</v>
      </c>
      <c r="U55" s="40"/>
      <c r="V55" s="101"/>
      <c r="W55" s="40">
        <f t="shared" si="23"/>
        <v>0</v>
      </c>
      <c r="X55" s="40"/>
      <c r="Y55" s="40"/>
      <c r="Z55" s="40">
        <f t="shared" si="24"/>
        <v>0</v>
      </c>
      <c r="AB55" s="85">
        <v>52397</v>
      </c>
      <c r="AC55" s="40"/>
      <c r="AD55" s="101"/>
      <c r="AE55" s="40">
        <f t="shared" si="25"/>
        <v>0</v>
      </c>
      <c r="AF55" s="40"/>
      <c r="AG55" s="40"/>
      <c r="AH55" s="40">
        <f t="shared" si="26"/>
        <v>0</v>
      </c>
      <c r="AJ55" s="85">
        <v>52397</v>
      </c>
      <c r="AK55" s="40"/>
      <c r="AL55" s="101"/>
      <c r="AM55" s="40">
        <f t="shared" si="27"/>
        <v>0</v>
      </c>
      <c r="AN55" s="40"/>
      <c r="AO55" s="40"/>
      <c r="AP55" s="40">
        <f t="shared" si="28"/>
        <v>0</v>
      </c>
      <c r="AR55" s="85">
        <v>52397</v>
      </c>
      <c r="AS55" s="40"/>
      <c r="AT55" s="101"/>
      <c r="AU55" s="40"/>
      <c r="AV55" s="101"/>
      <c r="AW55" s="40">
        <f t="shared" si="1"/>
        <v>0</v>
      </c>
      <c r="AX55" s="40"/>
      <c r="AY55" s="40"/>
      <c r="AZ55" s="40">
        <f t="shared" si="2"/>
        <v>0</v>
      </c>
      <c r="BB55" s="85">
        <v>52397</v>
      </c>
      <c r="BC55" s="40"/>
      <c r="BD55" s="40"/>
      <c r="BE55" s="40"/>
      <c r="BF55" s="40"/>
      <c r="BG55" s="40">
        <f t="shared" si="4"/>
        <v>0</v>
      </c>
      <c r="BI55" s="85">
        <v>52397</v>
      </c>
      <c r="BJ55" s="40"/>
      <c r="BK55" s="40"/>
      <c r="BL55" s="40"/>
      <c r="BM55" s="40"/>
      <c r="BN55" s="40">
        <v>0</v>
      </c>
      <c r="BP55" s="85">
        <v>52397</v>
      </c>
      <c r="BQ55" s="40"/>
      <c r="BR55" s="40"/>
      <c r="BS55" s="40"/>
      <c r="BT55" s="40"/>
      <c r="BU55" s="40">
        <v>0</v>
      </c>
      <c r="BW55" s="85">
        <v>52397</v>
      </c>
      <c r="BX55" s="40"/>
      <c r="BY55" s="40"/>
      <c r="BZ55" s="40"/>
      <c r="CA55" s="40"/>
      <c r="CB55" s="40">
        <v>0</v>
      </c>
      <c r="CD55" s="85">
        <v>52397</v>
      </c>
      <c r="CE55" s="40"/>
      <c r="CF55" s="40"/>
      <c r="CG55" s="40"/>
      <c r="CH55" s="40">
        <v>0</v>
      </c>
      <c r="CJ55" s="85">
        <v>52397</v>
      </c>
      <c r="CK55" s="40"/>
      <c r="CL55" s="87">
        <v>0</v>
      </c>
      <c r="CM55" s="40"/>
      <c r="CN55" s="40">
        <v>0</v>
      </c>
      <c r="CP55" s="85">
        <v>52397</v>
      </c>
      <c r="CQ55" s="40"/>
      <c r="CR55" s="87"/>
      <c r="CS55" s="40">
        <f t="shared" si="30"/>
        <v>3760000</v>
      </c>
      <c r="CT55" s="40"/>
      <c r="CU55" s="40">
        <f t="shared" si="5"/>
        <v>3760000</v>
      </c>
      <c r="CV55" s="151"/>
      <c r="CW55" s="85">
        <v>52397</v>
      </c>
      <c r="CY55" s="40"/>
      <c r="CZ55" s="87"/>
      <c r="DB55" s="40">
        <v>0</v>
      </c>
      <c r="DC55" s="151"/>
      <c r="DD55" s="85">
        <v>52397</v>
      </c>
      <c r="DE55" s="40"/>
      <c r="DF55" s="87"/>
      <c r="DG55" s="40"/>
      <c r="DH55" s="87"/>
      <c r="DI55" s="40"/>
      <c r="DJ55" s="87"/>
      <c r="DK55" s="40"/>
      <c r="DL55" s="87"/>
      <c r="DM55" s="40">
        <f t="shared" si="6"/>
        <v>0</v>
      </c>
      <c r="DN55" s="40"/>
      <c r="DO55" s="40">
        <f t="shared" si="7"/>
        <v>0</v>
      </c>
      <c r="DP55" s="151"/>
      <c r="DQ55" s="85">
        <v>52397</v>
      </c>
      <c r="DR55" s="40"/>
      <c r="DS55" s="87"/>
      <c r="DT55" s="40">
        <f t="shared" si="8"/>
        <v>0</v>
      </c>
      <c r="DU55" s="40">
        <f t="shared" si="9"/>
        <v>0</v>
      </c>
      <c r="DV55" s="151"/>
      <c r="DW55" s="85">
        <v>52397</v>
      </c>
      <c r="DX55" s="40"/>
      <c r="DY55" s="40"/>
      <c r="DZ55" s="40"/>
      <c r="EA55" s="40"/>
      <c r="EB55" s="40">
        <f t="shared" si="10"/>
        <v>0</v>
      </c>
      <c r="EC55" s="40"/>
      <c r="ED55" s="85">
        <v>52397</v>
      </c>
      <c r="EI55" s="40">
        <f t="shared" si="11"/>
        <v>0</v>
      </c>
      <c r="EJ55" s="85"/>
      <c r="EK55" s="85">
        <v>52397</v>
      </c>
      <c r="EQ55" s="85">
        <v>52397</v>
      </c>
      <c r="ES55" s="101"/>
      <c r="ET55" s="40">
        <f t="shared" si="33"/>
        <v>0</v>
      </c>
      <c r="EU55" s="40">
        <f t="shared" si="12"/>
        <v>0</v>
      </c>
      <c r="EW55" s="85">
        <v>52397</v>
      </c>
      <c r="EY55" s="101"/>
      <c r="EZ55" s="40">
        <f t="shared" si="34"/>
        <v>0</v>
      </c>
      <c r="FA55" s="40">
        <f t="shared" si="13"/>
        <v>0</v>
      </c>
      <c r="FC55" s="85">
        <v>52397</v>
      </c>
      <c r="FH55" s="40">
        <f t="shared" si="14"/>
        <v>0</v>
      </c>
      <c r="FJ55" s="85">
        <v>52397</v>
      </c>
      <c r="FO55" s="40">
        <f t="shared" si="15"/>
        <v>0</v>
      </c>
      <c r="FQ55" s="85">
        <v>52397</v>
      </c>
      <c r="FV55" s="40">
        <f t="shared" si="16"/>
        <v>0</v>
      </c>
      <c r="FX55" s="85">
        <v>52397</v>
      </c>
      <c r="GC55" s="40">
        <f t="shared" si="17"/>
        <v>0</v>
      </c>
    </row>
    <row r="56" spans="2:185" x14ac:dyDescent="0.25">
      <c r="B56" s="85">
        <v>52596</v>
      </c>
      <c r="C56" s="85"/>
      <c r="D56" s="85">
        <v>52580</v>
      </c>
      <c r="E56" s="40">
        <f t="shared" si="18"/>
        <v>0</v>
      </c>
      <c r="F56" s="40">
        <f t="shared" si="19"/>
        <v>3760000</v>
      </c>
      <c r="G56" s="40">
        <f t="shared" si="20"/>
        <v>0</v>
      </c>
      <c r="H56" s="40">
        <v>0</v>
      </c>
      <c r="I56" s="40">
        <f t="shared" si="21"/>
        <v>3760000</v>
      </c>
      <c r="J56" s="40"/>
      <c r="L56" s="85">
        <v>52580</v>
      </c>
      <c r="M56" s="40"/>
      <c r="N56" s="101"/>
      <c r="O56" s="40">
        <f t="shared" si="37"/>
        <v>0</v>
      </c>
      <c r="P56" s="40"/>
      <c r="Q56" s="40"/>
      <c r="R56" s="40">
        <f t="shared" si="22"/>
        <v>0</v>
      </c>
      <c r="T56" s="85">
        <v>52580</v>
      </c>
      <c r="U56" s="40"/>
      <c r="V56" s="101"/>
      <c r="W56" s="40">
        <f t="shared" si="23"/>
        <v>0</v>
      </c>
      <c r="X56" s="40"/>
      <c r="Y56" s="40"/>
      <c r="Z56" s="40">
        <f t="shared" si="24"/>
        <v>0</v>
      </c>
      <c r="AB56" s="85">
        <v>52580</v>
      </c>
      <c r="AC56" s="40"/>
      <c r="AD56" s="101"/>
      <c r="AE56" s="40">
        <f t="shared" si="25"/>
        <v>0</v>
      </c>
      <c r="AF56" s="40"/>
      <c r="AG56" s="40"/>
      <c r="AH56" s="40">
        <f t="shared" si="26"/>
        <v>0</v>
      </c>
      <c r="AJ56" s="85">
        <v>52580</v>
      </c>
      <c r="AK56" s="40"/>
      <c r="AL56" s="101"/>
      <c r="AM56" s="40">
        <f t="shared" si="27"/>
        <v>0</v>
      </c>
      <c r="AN56" s="40"/>
      <c r="AO56" s="40"/>
      <c r="AP56" s="40">
        <f t="shared" si="28"/>
        <v>0</v>
      </c>
      <c r="AR56" s="85">
        <v>52580</v>
      </c>
      <c r="AS56" s="40"/>
      <c r="AT56" s="101"/>
      <c r="AU56" s="40"/>
      <c r="AV56" s="101"/>
      <c r="AW56" s="40">
        <f t="shared" si="1"/>
        <v>0</v>
      </c>
      <c r="AX56" s="40"/>
      <c r="AY56" s="40"/>
      <c r="AZ56" s="40">
        <f t="shared" si="2"/>
        <v>0</v>
      </c>
      <c r="BB56" s="85">
        <v>52580</v>
      </c>
      <c r="BC56" s="40"/>
      <c r="BD56" s="40"/>
      <c r="BE56" s="40"/>
      <c r="BF56" s="40"/>
      <c r="BG56" s="40">
        <f t="shared" si="4"/>
        <v>0</v>
      </c>
      <c r="BI56" s="85">
        <v>52580</v>
      </c>
      <c r="BJ56" s="40"/>
      <c r="BK56" s="40"/>
      <c r="BL56" s="40"/>
      <c r="BM56" s="40"/>
      <c r="BN56" s="40">
        <v>0</v>
      </c>
      <c r="BP56" s="85">
        <v>52580</v>
      </c>
      <c r="BQ56" s="40"/>
      <c r="BR56" s="40"/>
      <c r="BS56" s="40"/>
      <c r="BT56" s="40"/>
      <c r="BU56" s="40">
        <v>0</v>
      </c>
      <c r="BW56" s="85">
        <v>52580</v>
      </c>
      <c r="BX56" s="40"/>
      <c r="BY56" s="40"/>
      <c r="BZ56" s="40"/>
      <c r="CA56" s="40"/>
      <c r="CB56" s="40">
        <v>0</v>
      </c>
      <c r="CD56" s="85">
        <v>52580</v>
      </c>
      <c r="CE56" s="40"/>
      <c r="CF56" s="40"/>
      <c r="CG56" s="40"/>
      <c r="CH56" s="40">
        <v>0</v>
      </c>
      <c r="CJ56" s="85">
        <v>52580</v>
      </c>
      <c r="CK56" s="40"/>
      <c r="CL56" s="87">
        <v>0</v>
      </c>
      <c r="CM56" s="40"/>
      <c r="CN56" s="40">
        <v>0</v>
      </c>
      <c r="CP56" s="85">
        <v>52580</v>
      </c>
      <c r="CQ56" s="40"/>
      <c r="CR56" s="87"/>
      <c r="CS56" s="40">
        <f t="shared" si="30"/>
        <v>3760000</v>
      </c>
      <c r="CT56" s="40"/>
      <c r="CU56" s="40">
        <f t="shared" si="5"/>
        <v>3760000</v>
      </c>
      <c r="CV56" s="151"/>
      <c r="CW56" s="85">
        <v>52580</v>
      </c>
      <c r="CY56" s="40"/>
      <c r="CZ56" s="87"/>
      <c r="DB56" s="40">
        <v>0</v>
      </c>
      <c r="DC56" s="151"/>
      <c r="DD56" s="85">
        <v>52580</v>
      </c>
      <c r="DE56" s="40"/>
      <c r="DF56" s="87"/>
      <c r="DG56" s="40"/>
      <c r="DH56" s="87"/>
      <c r="DI56" s="40"/>
      <c r="DJ56" s="87"/>
      <c r="DK56" s="40"/>
      <c r="DL56" s="87"/>
      <c r="DM56" s="40">
        <f t="shared" si="6"/>
        <v>0</v>
      </c>
      <c r="DN56" s="40"/>
      <c r="DO56" s="40">
        <f t="shared" si="7"/>
        <v>0</v>
      </c>
      <c r="DP56" s="151"/>
      <c r="DQ56" s="85">
        <v>52580</v>
      </c>
      <c r="DR56" s="40"/>
      <c r="DS56" s="87"/>
      <c r="DT56" s="40">
        <f t="shared" si="8"/>
        <v>0</v>
      </c>
      <c r="DU56" s="40">
        <f t="shared" si="9"/>
        <v>0</v>
      </c>
      <c r="DV56" s="151"/>
      <c r="DW56" s="85">
        <v>52580</v>
      </c>
      <c r="DX56" s="40"/>
      <c r="DY56" s="40"/>
      <c r="DZ56" s="40"/>
      <c r="EA56" s="40"/>
      <c r="EB56" s="40">
        <f t="shared" si="10"/>
        <v>0</v>
      </c>
      <c r="EC56" s="40"/>
      <c r="ED56" s="85">
        <v>52580</v>
      </c>
      <c r="EI56" s="40">
        <f t="shared" si="11"/>
        <v>0</v>
      </c>
      <c r="EJ56" s="85"/>
      <c r="EK56" s="85">
        <v>52580</v>
      </c>
      <c r="EQ56" s="85">
        <v>52580</v>
      </c>
      <c r="ES56" s="101"/>
      <c r="ET56" s="40">
        <f t="shared" si="33"/>
        <v>0</v>
      </c>
      <c r="EU56" s="40">
        <f t="shared" si="12"/>
        <v>0</v>
      </c>
      <c r="EW56" s="85">
        <v>52580</v>
      </c>
      <c r="EY56" s="101"/>
      <c r="EZ56" s="40">
        <f t="shared" si="34"/>
        <v>0</v>
      </c>
      <c r="FA56" s="40">
        <f t="shared" si="13"/>
        <v>0</v>
      </c>
      <c r="FC56" s="85">
        <v>52580</v>
      </c>
      <c r="FH56" s="40">
        <f t="shared" si="14"/>
        <v>0</v>
      </c>
      <c r="FJ56" s="85">
        <v>52580</v>
      </c>
      <c r="FO56" s="40">
        <f t="shared" si="15"/>
        <v>0</v>
      </c>
      <c r="FQ56" s="85">
        <v>52580</v>
      </c>
      <c r="FV56" s="40">
        <f t="shared" si="16"/>
        <v>0</v>
      </c>
      <c r="FX56" s="85">
        <v>52580</v>
      </c>
      <c r="GC56" s="40">
        <f t="shared" si="17"/>
        <v>0</v>
      </c>
    </row>
    <row r="57" spans="2:185" x14ac:dyDescent="0.25">
      <c r="B57" s="85">
        <v>52778</v>
      </c>
      <c r="C57" s="85"/>
      <c r="D57" s="85">
        <v>52763</v>
      </c>
      <c r="E57" s="40">
        <f t="shared" si="18"/>
        <v>0</v>
      </c>
      <c r="F57" s="40">
        <f t="shared" si="19"/>
        <v>3760000</v>
      </c>
      <c r="G57" s="40">
        <f t="shared" si="20"/>
        <v>0</v>
      </c>
      <c r="H57" s="40">
        <v>0</v>
      </c>
      <c r="I57" s="40">
        <f t="shared" si="21"/>
        <v>3760000</v>
      </c>
      <c r="J57" s="40">
        <f>SUM(I56:I57)</f>
        <v>7520000</v>
      </c>
      <c r="L57" s="85">
        <v>52763</v>
      </c>
      <c r="M57" s="40"/>
      <c r="N57" s="101"/>
      <c r="O57" s="40">
        <f t="shared" si="37"/>
        <v>0</v>
      </c>
      <c r="P57" s="40"/>
      <c r="Q57" s="40"/>
      <c r="R57" s="40">
        <f t="shared" si="22"/>
        <v>0</v>
      </c>
      <c r="T57" s="85">
        <v>52763</v>
      </c>
      <c r="U57" s="40"/>
      <c r="V57" s="101"/>
      <c r="W57" s="40">
        <f t="shared" si="23"/>
        <v>0</v>
      </c>
      <c r="X57" s="40"/>
      <c r="Y57" s="40"/>
      <c r="Z57" s="40">
        <f t="shared" si="24"/>
        <v>0</v>
      </c>
      <c r="AB57" s="85">
        <v>52763</v>
      </c>
      <c r="AC57" s="40"/>
      <c r="AD57" s="101"/>
      <c r="AE57" s="40">
        <f t="shared" si="25"/>
        <v>0</v>
      </c>
      <c r="AF57" s="40"/>
      <c r="AG57" s="40"/>
      <c r="AH57" s="40">
        <f t="shared" si="26"/>
        <v>0</v>
      </c>
      <c r="AJ57" s="85">
        <v>52763</v>
      </c>
      <c r="AK57" s="40"/>
      <c r="AL57" s="101"/>
      <c r="AM57" s="40">
        <f t="shared" si="27"/>
        <v>0</v>
      </c>
      <c r="AN57" s="40"/>
      <c r="AO57" s="40"/>
      <c r="AP57" s="40">
        <f t="shared" si="28"/>
        <v>0</v>
      </c>
      <c r="AR57" s="85">
        <v>52763</v>
      </c>
      <c r="AS57" s="40"/>
      <c r="AT57" s="101"/>
      <c r="AU57" s="40"/>
      <c r="AV57" s="101"/>
      <c r="AW57" s="40">
        <f t="shared" si="1"/>
        <v>0</v>
      </c>
      <c r="AX57" s="40"/>
      <c r="AY57" s="40"/>
      <c r="AZ57" s="40">
        <f t="shared" si="2"/>
        <v>0</v>
      </c>
      <c r="BB57" s="85">
        <v>52763</v>
      </c>
      <c r="BC57" s="40"/>
      <c r="BD57" s="40"/>
      <c r="BE57" s="40"/>
      <c r="BF57" s="40"/>
      <c r="BG57" s="40">
        <f t="shared" si="4"/>
        <v>0</v>
      </c>
      <c r="BI57" s="85">
        <v>52763</v>
      </c>
      <c r="BJ57" s="40"/>
      <c r="BK57" s="40"/>
      <c r="BL57" s="40"/>
      <c r="BM57" s="40"/>
      <c r="BN57" s="40">
        <v>0</v>
      </c>
      <c r="BP57" s="85">
        <v>52763</v>
      </c>
      <c r="BQ57" s="40"/>
      <c r="BR57" s="40"/>
      <c r="BS57" s="40"/>
      <c r="BT57" s="40"/>
      <c r="BU57" s="40">
        <v>0</v>
      </c>
      <c r="BW57" s="85">
        <v>52763</v>
      </c>
      <c r="BX57" s="40"/>
      <c r="BY57" s="40"/>
      <c r="BZ57" s="40"/>
      <c r="CA57" s="40"/>
      <c r="CB57" s="40">
        <v>0</v>
      </c>
      <c r="CD57" s="85">
        <v>52763</v>
      </c>
      <c r="CE57" s="40"/>
      <c r="CF57" s="40"/>
      <c r="CG57" s="40"/>
      <c r="CH57" s="40">
        <v>0</v>
      </c>
      <c r="CJ57" s="85">
        <v>52763</v>
      </c>
      <c r="CK57" s="40"/>
      <c r="CL57" s="87">
        <v>0</v>
      </c>
      <c r="CM57" s="40"/>
      <c r="CN57" s="40">
        <v>0</v>
      </c>
      <c r="CP57" s="85">
        <v>52763</v>
      </c>
      <c r="CQ57" s="40"/>
      <c r="CR57" s="87"/>
      <c r="CS57" s="40">
        <f t="shared" si="30"/>
        <v>3760000</v>
      </c>
      <c r="CT57" s="40"/>
      <c r="CU57" s="40">
        <f t="shared" si="5"/>
        <v>3760000</v>
      </c>
      <c r="CV57" s="151"/>
      <c r="CW57" s="85">
        <v>52763</v>
      </c>
      <c r="CY57" s="40"/>
      <c r="CZ57" s="87"/>
      <c r="DB57" s="40">
        <v>0</v>
      </c>
      <c r="DC57" s="151"/>
      <c r="DD57" s="85">
        <v>52763</v>
      </c>
      <c r="DE57" s="40"/>
      <c r="DF57" s="87"/>
      <c r="DG57" s="40"/>
      <c r="DH57" s="87"/>
      <c r="DI57" s="40"/>
      <c r="DJ57" s="87"/>
      <c r="DK57" s="40"/>
      <c r="DL57" s="87"/>
      <c r="DM57" s="40">
        <f t="shared" si="6"/>
        <v>0</v>
      </c>
      <c r="DN57" s="40"/>
      <c r="DO57" s="40">
        <f t="shared" si="7"/>
        <v>0</v>
      </c>
      <c r="DP57" s="151"/>
      <c r="DQ57" s="85">
        <v>52763</v>
      </c>
      <c r="DR57" s="40"/>
      <c r="DS57" s="87"/>
      <c r="DT57" s="40">
        <f t="shared" si="8"/>
        <v>0</v>
      </c>
      <c r="DU57" s="40">
        <f t="shared" si="9"/>
        <v>0</v>
      </c>
      <c r="DV57" s="151"/>
      <c r="DW57" s="85">
        <v>52763</v>
      </c>
      <c r="DX57" s="40"/>
      <c r="DY57" s="40"/>
      <c r="DZ57" s="40"/>
      <c r="EA57" s="40"/>
      <c r="EB57" s="40">
        <f t="shared" si="10"/>
        <v>0</v>
      </c>
      <c r="EC57" s="40"/>
      <c r="ED57" s="85">
        <v>52763</v>
      </c>
      <c r="EI57" s="40">
        <f t="shared" si="11"/>
        <v>0</v>
      </c>
      <c r="EJ57" s="85"/>
      <c r="EK57" s="85">
        <v>52763</v>
      </c>
      <c r="EQ57" s="85">
        <v>52763</v>
      </c>
      <c r="ES57" s="101"/>
      <c r="ET57" s="40">
        <f t="shared" si="33"/>
        <v>0</v>
      </c>
      <c r="EU57" s="40">
        <f t="shared" si="12"/>
        <v>0</v>
      </c>
      <c r="EW57" s="85">
        <v>52763</v>
      </c>
      <c r="EY57" s="101"/>
      <c r="EZ57" s="40">
        <f t="shared" si="34"/>
        <v>0</v>
      </c>
      <c r="FA57" s="40">
        <f t="shared" si="13"/>
        <v>0</v>
      </c>
      <c r="FC57" s="85">
        <v>52763</v>
      </c>
      <c r="FH57" s="40">
        <f t="shared" si="14"/>
        <v>0</v>
      </c>
      <c r="FJ57" s="85">
        <v>52763</v>
      </c>
      <c r="FO57" s="40">
        <f t="shared" si="15"/>
        <v>0</v>
      </c>
      <c r="FQ57" s="85">
        <v>52763</v>
      </c>
      <c r="FV57" s="40">
        <f t="shared" si="16"/>
        <v>0</v>
      </c>
      <c r="FX57" s="85">
        <v>52763</v>
      </c>
      <c r="GC57" s="40">
        <f t="shared" si="17"/>
        <v>0</v>
      </c>
    </row>
    <row r="58" spans="2:185" x14ac:dyDescent="0.25">
      <c r="B58" s="85">
        <v>52962</v>
      </c>
      <c r="C58" s="85"/>
      <c r="D58" s="85">
        <v>52946</v>
      </c>
      <c r="E58" s="40">
        <f t="shared" si="18"/>
        <v>0</v>
      </c>
      <c r="F58" s="40">
        <f t="shared" si="19"/>
        <v>3760000</v>
      </c>
      <c r="G58" s="40">
        <f t="shared" si="20"/>
        <v>0</v>
      </c>
      <c r="H58" s="40">
        <v>0</v>
      </c>
      <c r="I58" s="40">
        <f t="shared" si="21"/>
        <v>3760000</v>
      </c>
      <c r="J58" s="40"/>
      <c r="L58" s="85">
        <v>52946</v>
      </c>
      <c r="M58" s="40"/>
      <c r="N58" s="101"/>
      <c r="O58" s="40">
        <f t="shared" si="37"/>
        <v>0</v>
      </c>
      <c r="P58" s="40"/>
      <c r="Q58" s="40"/>
      <c r="R58" s="40">
        <f t="shared" si="22"/>
        <v>0</v>
      </c>
      <c r="T58" s="85">
        <v>52946</v>
      </c>
      <c r="U58" s="40"/>
      <c r="V58" s="101"/>
      <c r="W58" s="40">
        <f t="shared" si="23"/>
        <v>0</v>
      </c>
      <c r="X58" s="40"/>
      <c r="Y58" s="40"/>
      <c r="Z58" s="40">
        <f t="shared" si="24"/>
        <v>0</v>
      </c>
      <c r="AB58" s="85">
        <v>52946</v>
      </c>
      <c r="AC58" s="40"/>
      <c r="AD58" s="101"/>
      <c r="AE58" s="40">
        <f t="shared" si="25"/>
        <v>0</v>
      </c>
      <c r="AF58" s="40"/>
      <c r="AG58" s="40"/>
      <c r="AH58" s="40">
        <f t="shared" si="26"/>
        <v>0</v>
      </c>
      <c r="AJ58" s="85">
        <v>52946</v>
      </c>
      <c r="AK58" s="40"/>
      <c r="AL58" s="101"/>
      <c r="AM58" s="40">
        <f t="shared" si="27"/>
        <v>0</v>
      </c>
      <c r="AN58" s="40"/>
      <c r="AO58" s="40"/>
      <c r="AP58" s="40">
        <f t="shared" si="28"/>
        <v>0</v>
      </c>
      <c r="AR58" s="85">
        <v>52946</v>
      </c>
      <c r="AS58" s="40"/>
      <c r="AT58" s="101"/>
      <c r="AU58" s="40"/>
      <c r="AV58" s="101"/>
      <c r="AW58" s="40">
        <f t="shared" si="1"/>
        <v>0</v>
      </c>
      <c r="AX58" s="40"/>
      <c r="AY58" s="40"/>
      <c r="AZ58" s="40">
        <f t="shared" si="2"/>
        <v>0</v>
      </c>
      <c r="BB58" s="85">
        <v>52946</v>
      </c>
      <c r="BC58" s="40"/>
      <c r="BD58" s="40"/>
      <c r="BE58" s="40"/>
      <c r="BF58" s="40"/>
      <c r="BG58" s="40">
        <f t="shared" si="4"/>
        <v>0</v>
      </c>
      <c r="BI58" s="85">
        <v>52946</v>
      </c>
      <c r="BJ58" s="40"/>
      <c r="BK58" s="40"/>
      <c r="BL58" s="40"/>
      <c r="BM58" s="40"/>
      <c r="BN58" s="40">
        <v>0</v>
      </c>
      <c r="BP58" s="85">
        <v>52946</v>
      </c>
      <c r="BQ58" s="40"/>
      <c r="BR58" s="40"/>
      <c r="BS58" s="40"/>
      <c r="BT58" s="40"/>
      <c r="BU58" s="40">
        <v>0</v>
      </c>
      <c r="BW58" s="85">
        <v>52946</v>
      </c>
      <c r="BX58" s="40"/>
      <c r="BY58" s="40"/>
      <c r="BZ58" s="40"/>
      <c r="CA58" s="40"/>
      <c r="CB58" s="40">
        <v>0</v>
      </c>
      <c r="CD58" s="85">
        <v>52946</v>
      </c>
      <c r="CE58" s="40"/>
      <c r="CF58" s="40"/>
      <c r="CG58" s="40"/>
      <c r="CH58" s="40">
        <v>0</v>
      </c>
      <c r="CJ58" s="85">
        <v>52946</v>
      </c>
      <c r="CK58" s="40"/>
      <c r="CL58" s="87">
        <v>0</v>
      </c>
      <c r="CM58" s="40"/>
      <c r="CN58" s="40">
        <v>0</v>
      </c>
      <c r="CP58" s="85">
        <v>52946</v>
      </c>
      <c r="CQ58" s="40"/>
      <c r="CR58" s="87"/>
      <c r="CS58" s="40">
        <f t="shared" si="30"/>
        <v>3760000</v>
      </c>
      <c r="CT58" s="40"/>
      <c r="CU58" s="40">
        <f t="shared" si="5"/>
        <v>3760000</v>
      </c>
      <c r="CV58" s="151"/>
      <c r="CW58" s="85">
        <v>52946</v>
      </c>
      <c r="CY58" s="40"/>
      <c r="CZ58" s="87"/>
      <c r="DB58" s="40">
        <v>0</v>
      </c>
      <c r="DC58" s="151"/>
      <c r="DD58" s="85">
        <v>52946</v>
      </c>
      <c r="DE58" s="40"/>
      <c r="DF58" s="87"/>
      <c r="DG58" s="40"/>
      <c r="DH58" s="87"/>
      <c r="DI58" s="40"/>
      <c r="DJ58" s="87"/>
      <c r="DK58" s="40"/>
      <c r="DL58" s="87"/>
      <c r="DM58" s="40">
        <f t="shared" si="6"/>
        <v>0</v>
      </c>
      <c r="DN58" s="40"/>
      <c r="DO58" s="40">
        <f t="shared" si="7"/>
        <v>0</v>
      </c>
      <c r="DP58" s="151"/>
      <c r="DQ58" s="85">
        <v>52946</v>
      </c>
      <c r="DR58" s="40"/>
      <c r="DS58" s="87"/>
      <c r="DT58" s="40">
        <f t="shared" si="8"/>
        <v>0</v>
      </c>
      <c r="DU58" s="40">
        <f t="shared" si="9"/>
        <v>0</v>
      </c>
      <c r="DV58" s="151"/>
      <c r="DW58" s="85">
        <v>52946</v>
      </c>
      <c r="DX58" s="40"/>
      <c r="DY58" s="40"/>
      <c r="DZ58" s="40"/>
      <c r="EA58" s="40"/>
      <c r="EB58" s="40">
        <f t="shared" si="10"/>
        <v>0</v>
      </c>
      <c r="EC58" s="40"/>
      <c r="ED58" s="85">
        <v>52946</v>
      </c>
      <c r="EI58" s="40">
        <f t="shared" si="11"/>
        <v>0</v>
      </c>
      <c r="EJ58" s="85"/>
      <c r="EK58" s="85">
        <v>52946</v>
      </c>
      <c r="EQ58" s="85">
        <v>52946</v>
      </c>
      <c r="ES58" s="101"/>
      <c r="ET58" s="40">
        <f t="shared" si="33"/>
        <v>0</v>
      </c>
      <c r="EU58" s="40">
        <f t="shared" si="12"/>
        <v>0</v>
      </c>
      <c r="EW58" s="85">
        <v>52946</v>
      </c>
      <c r="EY58" s="101"/>
      <c r="EZ58" s="40">
        <f t="shared" si="34"/>
        <v>0</v>
      </c>
      <c r="FA58" s="40">
        <f t="shared" si="13"/>
        <v>0</v>
      </c>
      <c r="FC58" s="85">
        <v>52946</v>
      </c>
      <c r="FH58" s="40">
        <f t="shared" si="14"/>
        <v>0</v>
      </c>
      <c r="FJ58" s="85">
        <v>52946</v>
      </c>
      <c r="FO58" s="40">
        <f t="shared" si="15"/>
        <v>0</v>
      </c>
      <c r="FQ58" s="85">
        <v>52946</v>
      </c>
      <c r="FV58" s="40">
        <f t="shared" si="16"/>
        <v>0</v>
      </c>
      <c r="FX58" s="85">
        <v>52946</v>
      </c>
      <c r="GC58" s="40">
        <f t="shared" si="17"/>
        <v>0</v>
      </c>
    </row>
    <row r="59" spans="2:185" x14ac:dyDescent="0.25">
      <c r="B59" s="85">
        <v>53143</v>
      </c>
      <c r="C59" s="85"/>
      <c r="D59" s="85">
        <v>53128</v>
      </c>
      <c r="E59" s="40">
        <f t="shared" si="18"/>
        <v>0</v>
      </c>
      <c r="F59" s="40">
        <f t="shared" si="19"/>
        <v>3760000</v>
      </c>
      <c r="G59" s="40">
        <f t="shared" si="20"/>
        <v>0</v>
      </c>
      <c r="H59" s="40">
        <v>0</v>
      </c>
      <c r="I59" s="40">
        <f t="shared" si="21"/>
        <v>3760000</v>
      </c>
      <c r="J59" s="40">
        <f>SUM(I58:I59)</f>
        <v>7520000</v>
      </c>
      <c r="L59" s="85">
        <v>53128</v>
      </c>
      <c r="M59" s="40"/>
      <c r="N59" s="101"/>
      <c r="O59" s="40">
        <f t="shared" si="37"/>
        <v>0</v>
      </c>
      <c r="P59" s="40"/>
      <c r="Q59" s="40"/>
      <c r="R59" s="40">
        <f t="shared" si="22"/>
        <v>0</v>
      </c>
      <c r="T59" s="85">
        <v>53128</v>
      </c>
      <c r="U59" s="40"/>
      <c r="V59" s="101"/>
      <c r="W59" s="40">
        <f t="shared" si="23"/>
        <v>0</v>
      </c>
      <c r="X59" s="40"/>
      <c r="Y59" s="40"/>
      <c r="Z59" s="40">
        <f t="shared" si="24"/>
        <v>0</v>
      </c>
      <c r="AB59" s="85">
        <v>53128</v>
      </c>
      <c r="AC59" s="40"/>
      <c r="AD59" s="101"/>
      <c r="AE59" s="40">
        <f t="shared" si="25"/>
        <v>0</v>
      </c>
      <c r="AF59" s="40"/>
      <c r="AG59" s="40"/>
      <c r="AH59" s="40">
        <f t="shared" si="26"/>
        <v>0</v>
      </c>
      <c r="AJ59" s="85">
        <v>53128</v>
      </c>
      <c r="AK59" s="40"/>
      <c r="AL59" s="101"/>
      <c r="AM59" s="40">
        <f t="shared" si="27"/>
        <v>0</v>
      </c>
      <c r="AN59" s="40"/>
      <c r="AO59" s="40"/>
      <c r="AP59" s="40">
        <f t="shared" si="28"/>
        <v>0</v>
      </c>
      <c r="AR59" s="85">
        <v>53128</v>
      </c>
      <c r="AS59" s="40"/>
      <c r="AT59" s="101"/>
      <c r="AU59" s="40"/>
      <c r="AV59" s="101"/>
      <c r="AW59" s="40">
        <f t="shared" si="1"/>
        <v>0</v>
      </c>
      <c r="AX59" s="40"/>
      <c r="AY59" s="40"/>
      <c r="AZ59" s="40">
        <f t="shared" si="2"/>
        <v>0</v>
      </c>
      <c r="BB59" s="85">
        <v>53128</v>
      </c>
      <c r="BC59" s="40"/>
      <c r="BD59" s="40"/>
      <c r="BE59" s="40"/>
      <c r="BF59" s="40"/>
      <c r="BG59" s="40">
        <f t="shared" si="4"/>
        <v>0</v>
      </c>
      <c r="BI59" s="85">
        <v>53128</v>
      </c>
      <c r="BJ59" s="40"/>
      <c r="BK59" s="40"/>
      <c r="BL59" s="40"/>
      <c r="BM59" s="40"/>
      <c r="BN59" s="40">
        <v>0</v>
      </c>
      <c r="BP59" s="85">
        <v>53128</v>
      </c>
      <c r="BQ59" s="40"/>
      <c r="BR59" s="40"/>
      <c r="BS59" s="40"/>
      <c r="BT59" s="40"/>
      <c r="BU59" s="40">
        <v>0</v>
      </c>
      <c r="BW59" s="85">
        <v>53128</v>
      </c>
      <c r="BX59" s="40"/>
      <c r="BY59" s="40"/>
      <c r="BZ59" s="40"/>
      <c r="CA59" s="40"/>
      <c r="CB59" s="40">
        <v>0</v>
      </c>
      <c r="CD59" s="85">
        <v>53128</v>
      </c>
      <c r="CE59" s="40"/>
      <c r="CF59" s="40"/>
      <c r="CG59" s="40"/>
      <c r="CH59" s="40">
        <v>0</v>
      </c>
      <c r="CJ59" s="85">
        <v>53128</v>
      </c>
      <c r="CK59" s="40"/>
      <c r="CL59" s="87">
        <v>0</v>
      </c>
      <c r="CM59" s="40"/>
      <c r="CN59" s="40">
        <v>0</v>
      </c>
      <c r="CP59" s="85">
        <v>53128</v>
      </c>
      <c r="CQ59" s="40"/>
      <c r="CR59" s="87"/>
      <c r="CS59" s="40">
        <f t="shared" si="30"/>
        <v>3760000</v>
      </c>
      <c r="CT59" s="40"/>
      <c r="CU59" s="40">
        <f t="shared" si="5"/>
        <v>3760000</v>
      </c>
      <c r="CV59" s="151"/>
      <c r="CW59" s="85">
        <v>53128</v>
      </c>
      <c r="CY59" s="40"/>
      <c r="CZ59" s="87"/>
      <c r="DB59" s="40">
        <v>0</v>
      </c>
      <c r="DC59" s="151"/>
      <c r="DD59" s="85">
        <v>53128</v>
      </c>
      <c r="DE59" s="40"/>
      <c r="DF59" s="87"/>
      <c r="DG59" s="40"/>
      <c r="DH59" s="87"/>
      <c r="DI59" s="40"/>
      <c r="DJ59" s="87"/>
      <c r="DK59" s="40"/>
      <c r="DL59" s="87"/>
      <c r="DM59" s="40">
        <f t="shared" si="6"/>
        <v>0</v>
      </c>
      <c r="DN59" s="40"/>
      <c r="DO59" s="40">
        <f t="shared" si="7"/>
        <v>0</v>
      </c>
      <c r="DP59" s="151"/>
      <c r="DQ59" s="85">
        <v>53128</v>
      </c>
      <c r="DR59" s="40"/>
      <c r="DS59" s="87"/>
      <c r="DT59" s="40">
        <f t="shared" si="8"/>
        <v>0</v>
      </c>
      <c r="DU59" s="40">
        <f t="shared" si="9"/>
        <v>0</v>
      </c>
      <c r="DV59" s="151"/>
      <c r="DW59" s="85">
        <v>53128</v>
      </c>
      <c r="DX59" s="40"/>
      <c r="DY59" s="40"/>
      <c r="DZ59" s="40"/>
      <c r="EA59" s="40"/>
      <c r="EB59" s="40">
        <f t="shared" si="10"/>
        <v>0</v>
      </c>
      <c r="EC59" s="40"/>
      <c r="ED59" s="85">
        <v>53128</v>
      </c>
      <c r="EI59" s="40">
        <f t="shared" si="11"/>
        <v>0</v>
      </c>
      <c r="EJ59" s="85"/>
      <c r="EK59" s="85">
        <v>53128</v>
      </c>
      <c r="EQ59" s="85">
        <v>53128</v>
      </c>
      <c r="ES59" s="101"/>
      <c r="ET59" s="40">
        <f t="shared" si="33"/>
        <v>0</v>
      </c>
      <c r="EU59" s="40">
        <f t="shared" si="12"/>
        <v>0</v>
      </c>
      <c r="EW59" s="85">
        <v>53128</v>
      </c>
      <c r="EY59" s="101"/>
      <c r="EZ59" s="40">
        <f t="shared" si="34"/>
        <v>0</v>
      </c>
      <c r="FA59" s="40">
        <f t="shared" si="13"/>
        <v>0</v>
      </c>
      <c r="FC59" s="85">
        <v>53128</v>
      </c>
      <c r="FH59" s="40">
        <f t="shared" si="14"/>
        <v>0</v>
      </c>
      <c r="FJ59" s="85">
        <v>53128</v>
      </c>
      <c r="FO59" s="40">
        <f t="shared" si="15"/>
        <v>0</v>
      </c>
      <c r="FQ59" s="85">
        <v>53128</v>
      </c>
      <c r="FV59" s="40">
        <f t="shared" si="16"/>
        <v>0</v>
      </c>
      <c r="FX59" s="85">
        <v>53128</v>
      </c>
      <c r="GC59" s="40">
        <f t="shared" si="17"/>
        <v>0</v>
      </c>
    </row>
    <row r="60" spans="2:185" x14ac:dyDescent="0.25">
      <c r="B60" s="85">
        <v>53327</v>
      </c>
      <c r="C60" s="85"/>
      <c r="D60" s="85">
        <v>53311</v>
      </c>
      <c r="E60" s="40">
        <f t="shared" si="18"/>
        <v>0</v>
      </c>
      <c r="F60" s="40">
        <f t="shared" si="19"/>
        <v>3760000</v>
      </c>
      <c r="G60" s="40">
        <f t="shared" si="20"/>
        <v>0</v>
      </c>
      <c r="H60" s="40">
        <v>0</v>
      </c>
      <c r="I60" s="40">
        <f t="shared" si="21"/>
        <v>3760000</v>
      </c>
      <c r="J60" s="40"/>
      <c r="L60" s="85">
        <v>53311</v>
      </c>
      <c r="M60" s="40"/>
      <c r="N60" s="101"/>
      <c r="O60" s="40">
        <f t="shared" si="37"/>
        <v>0</v>
      </c>
      <c r="P60" s="40"/>
      <c r="Q60" s="40"/>
      <c r="R60" s="40">
        <f t="shared" si="22"/>
        <v>0</v>
      </c>
      <c r="T60" s="85">
        <v>53311</v>
      </c>
      <c r="U60" s="40"/>
      <c r="V60" s="101"/>
      <c r="W60" s="40">
        <f t="shared" si="23"/>
        <v>0</v>
      </c>
      <c r="X60" s="40"/>
      <c r="Y60" s="40"/>
      <c r="Z60" s="40">
        <f t="shared" si="24"/>
        <v>0</v>
      </c>
      <c r="AB60" s="85">
        <v>53311</v>
      </c>
      <c r="AC60" s="40"/>
      <c r="AD60" s="101"/>
      <c r="AE60" s="40">
        <f t="shared" si="25"/>
        <v>0</v>
      </c>
      <c r="AF60" s="40"/>
      <c r="AG60" s="40"/>
      <c r="AH60" s="40">
        <f t="shared" si="26"/>
        <v>0</v>
      </c>
      <c r="AJ60" s="85">
        <v>53311</v>
      </c>
      <c r="AK60" s="40"/>
      <c r="AL60" s="101"/>
      <c r="AM60" s="40">
        <f t="shared" si="27"/>
        <v>0</v>
      </c>
      <c r="AN60" s="40"/>
      <c r="AO60" s="40"/>
      <c r="AP60" s="40">
        <f t="shared" si="28"/>
        <v>0</v>
      </c>
      <c r="AR60" s="85">
        <v>53311</v>
      </c>
      <c r="AS60" s="40"/>
      <c r="AT60" s="101"/>
      <c r="AU60" s="40"/>
      <c r="AV60" s="101"/>
      <c r="AW60" s="40">
        <f t="shared" si="1"/>
        <v>0</v>
      </c>
      <c r="AX60" s="40"/>
      <c r="AY60" s="40"/>
      <c r="AZ60" s="40">
        <f t="shared" si="2"/>
        <v>0</v>
      </c>
      <c r="BB60" s="85">
        <v>53311</v>
      </c>
      <c r="BC60" s="40"/>
      <c r="BD60" s="40"/>
      <c r="BE60" s="40"/>
      <c r="BF60" s="40"/>
      <c r="BG60" s="40">
        <f t="shared" si="4"/>
        <v>0</v>
      </c>
      <c r="BI60" s="85">
        <v>53311</v>
      </c>
      <c r="BJ60" s="40"/>
      <c r="BK60" s="40"/>
      <c r="BL60" s="40"/>
      <c r="BM60" s="40"/>
      <c r="BN60" s="40">
        <v>0</v>
      </c>
      <c r="BP60" s="85">
        <v>53311</v>
      </c>
      <c r="BQ60" s="40"/>
      <c r="BR60" s="40"/>
      <c r="BS60" s="40"/>
      <c r="BT60" s="40"/>
      <c r="BU60" s="40">
        <v>0</v>
      </c>
      <c r="BW60" s="85">
        <v>53311</v>
      </c>
      <c r="BX60" s="40"/>
      <c r="BY60" s="40"/>
      <c r="BZ60" s="40"/>
      <c r="CA60" s="40"/>
      <c r="CB60" s="40">
        <v>0</v>
      </c>
      <c r="CD60" s="85">
        <v>53311</v>
      </c>
      <c r="CE60" s="40"/>
      <c r="CF60" s="40"/>
      <c r="CG60" s="40"/>
      <c r="CH60" s="40">
        <v>0</v>
      </c>
      <c r="CJ60" s="85">
        <v>53311</v>
      </c>
      <c r="CK60" s="40"/>
      <c r="CL60" s="87">
        <v>0</v>
      </c>
      <c r="CM60" s="40"/>
      <c r="CN60" s="40">
        <v>0</v>
      </c>
      <c r="CP60" s="85">
        <v>53311</v>
      </c>
      <c r="CQ60" s="40"/>
      <c r="CR60" s="87"/>
      <c r="CS60" s="40">
        <f t="shared" si="30"/>
        <v>3760000</v>
      </c>
      <c r="CT60" s="40"/>
      <c r="CU60" s="40">
        <f t="shared" si="5"/>
        <v>3760000</v>
      </c>
      <c r="CV60" s="151"/>
      <c r="CW60" s="85">
        <v>53311</v>
      </c>
      <c r="CY60" s="40"/>
      <c r="CZ60" s="87"/>
      <c r="DB60" s="40">
        <v>0</v>
      </c>
      <c r="DC60" s="151"/>
      <c r="DD60" s="85">
        <v>53311</v>
      </c>
      <c r="DE60" s="40"/>
      <c r="DF60" s="87"/>
      <c r="DG60" s="40"/>
      <c r="DH60" s="87"/>
      <c r="DI60" s="40"/>
      <c r="DJ60" s="87"/>
      <c r="DK60" s="40"/>
      <c r="DL60" s="87"/>
      <c r="DM60" s="40">
        <f t="shared" ref="DM60:DM69" si="39">(DE60*DF60/2)+(DG60*DH60/2)+(DI60*DJ60/2)+(DK60*DL60/2)+DM61</f>
        <v>0</v>
      </c>
      <c r="DN60" s="40"/>
      <c r="DO60" s="40">
        <f t="shared" si="7"/>
        <v>0</v>
      </c>
      <c r="DP60" s="151"/>
      <c r="DQ60" s="85">
        <v>53311</v>
      </c>
      <c r="DR60" s="40"/>
      <c r="DS60" s="87"/>
      <c r="DT60" s="40">
        <f t="shared" si="8"/>
        <v>0</v>
      </c>
      <c r="DU60" s="40">
        <f t="shared" si="9"/>
        <v>0</v>
      </c>
      <c r="DV60" s="151"/>
      <c r="DW60" s="85">
        <v>53311</v>
      </c>
      <c r="DX60" s="40"/>
      <c r="DY60" s="40"/>
      <c r="DZ60" s="40"/>
      <c r="EA60" s="40"/>
      <c r="EB60" s="40">
        <f t="shared" si="10"/>
        <v>0</v>
      </c>
      <c r="EC60" s="40"/>
      <c r="ED60" s="85">
        <v>53311</v>
      </c>
      <c r="EI60" s="40">
        <f t="shared" si="11"/>
        <v>0</v>
      </c>
      <c r="EJ60" s="85"/>
      <c r="EK60" s="85">
        <v>53311</v>
      </c>
      <c r="EQ60" s="85">
        <v>53311</v>
      </c>
      <c r="ES60" s="101"/>
      <c r="ET60" s="40">
        <f t="shared" si="33"/>
        <v>0</v>
      </c>
      <c r="EU60" s="40">
        <f t="shared" si="12"/>
        <v>0</v>
      </c>
      <c r="EW60" s="85">
        <v>53311</v>
      </c>
      <c r="EY60" s="101"/>
      <c r="EZ60" s="40">
        <f t="shared" si="34"/>
        <v>0</v>
      </c>
      <c r="FA60" s="40">
        <f t="shared" si="13"/>
        <v>0</v>
      </c>
      <c r="FC60" s="85">
        <v>53311</v>
      </c>
      <c r="FH60" s="40">
        <f t="shared" si="14"/>
        <v>0</v>
      </c>
      <c r="FJ60" s="85">
        <v>53311</v>
      </c>
      <c r="FO60" s="40">
        <f t="shared" si="15"/>
        <v>0</v>
      </c>
      <c r="FQ60" s="85">
        <v>53311</v>
      </c>
      <c r="FV60" s="40">
        <f t="shared" si="16"/>
        <v>0</v>
      </c>
      <c r="FX60" s="85">
        <v>53311</v>
      </c>
      <c r="GC60" s="40">
        <f t="shared" si="17"/>
        <v>0</v>
      </c>
    </row>
    <row r="61" spans="2:185" x14ac:dyDescent="0.25">
      <c r="B61" s="85">
        <v>53508</v>
      </c>
      <c r="C61" s="85"/>
      <c r="D61" s="85">
        <v>53493</v>
      </c>
      <c r="E61" s="40">
        <f t="shared" si="18"/>
        <v>0</v>
      </c>
      <c r="F61" s="40">
        <f t="shared" si="19"/>
        <v>3760000</v>
      </c>
      <c r="G61" s="40">
        <f t="shared" si="20"/>
        <v>0</v>
      </c>
      <c r="H61" s="40">
        <v>0</v>
      </c>
      <c r="I61" s="40">
        <f t="shared" si="21"/>
        <v>3760000</v>
      </c>
      <c r="J61" s="40">
        <f>SUM(I60:I61)</f>
        <v>7520000</v>
      </c>
      <c r="L61" s="85">
        <v>53493</v>
      </c>
      <c r="M61" s="40"/>
      <c r="N61" s="101"/>
      <c r="O61" s="40">
        <f t="shared" si="37"/>
        <v>0</v>
      </c>
      <c r="P61" s="40"/>
      <c r="Q61" s="40"/>
      <c r="R61" s="40">
        <f t="shared" si="22"/>
        <v>0</v>
      </c>
      <c r="T61" s="85">
        <v>53493</v>
      </c>
      <c r="U61" s="40"/>
      <c r="V61" s="101"/>
      <c r="W61" s="40">
        <f t="shared" si="23"/>
        <v>0</v>
      </c>
      <c r="X61" s="40"/>
      <c r="Y61" s="40"/>
      <c r="Z61" s="40">
        <f t="shared" si="24"/>
        <v>0</v>
      </c>
      <c r="AB61" s="85">
        <v>53493</v>
      </c>
      <c r="AC61" s="40"/>
      <c r="AD61" s="101"/>
      <c r="AE61" s="40">
        <f t="shared" si="25"/>
        <v>0</v>
      </c>
      <c r="AF61" s="40"/>
      <c r="AG61" s="40"/>
      <c r="AH61" s="40">
        <f t="shared" si="26"/>
        <v>0</v>
      </c>
      <c r="AJ61" s="85">
        <v>53493</v>
      </c>
      <c r="AK61" s="40"/>
      <c r="AL61" s="101"/>
      <c r="AM61" s="40">
        <f t="shared" si="27"/>
        <v>0</v>
      </c>
      <c r="AN61" s="40"/>
      <c r="AO61" s="40"/>
      <c r="AP61" s="40">
        <f t="shared" si="28"/>
        <v>0</v>
      </c>
      <c r="AR61" s="85">
        <v>53493</v>
      </c>
      <c r="AS61" s="40"/>
      <c r="AT61" s="101"/>
      <c r="AU61" s="40"/>
      <c r="AV61" s="101"/>
      <c r="AW61" s="40">
        <f t="shared" si="1"/>
        <v>0</v>
      </c>
      <c r="AX61" s="40"/>
      <c r="AY61" s="40"/>
      <c r="AZ61" s="40">
        <f t="shared" si="2"/>
        <v>0</v>
      </c>
      <c r="BB61" s="85">
        <v>53493</v>
      </c>
      <c r="BC61" s="40"/>
      <c r="BD61" s="40"/>
      <c r="BE61" s="40"/>
      <c r="BF61" s="40"/>
      <c r="BG61" s="40">
        <f t="shared" si="4"/>
        <v>0</v>
      </c>
      <c r="BI61" s="85">
        <v>53493</v>
      </c>
      <c r="BJ61" s="40"/>
      <c r="BK61" s="40"/>
      <c r="BL61" s="40"/>
      <c r="BM61" s="40"/>
      <c r="BN61" s="40">
        <v>0</v>
      </c>
      <c r="BP61" s="85">
        <v>53493</v>
      </c>
      <c r="BQ61" s="40"/>
      <c r="BR61" s="40"/>
      <c r="BS61" s="40"/>
      <c r="BT61" s="40"/>
      <c r="BU61" s="40">
        <v>0</v>
      </c>
      <c r="BW61" s="85">
        <v>53493</v>
      </c>
      <c r="BX61" s="40"/>
      <c r="BY61" s="40"/>
      <c r="BZ61" s="40"/>
      <c r="CA61" s="40"/>
      <c r="CB61" s="40">
        <v>0</v>
      </c>
      <c r="CD61" s="85">
        <v>53493</v>
      </c>
      <c r="CE61" s="40"/>
      <c r="CF61" s="40"/>
      <c r="CG61" s="40"/>
      <c r="CH61" s="40">
        <v>0</v>
      </c>
      <c r="CJ61" s="85">
        <v>53493</v>
      </c>
      <c r="CK61" s="40"/>
      <c r="CL61" s="87">
        <v>0</v>
      </c>
      <c r="CM61" s="40"/>
      <c r="CN61" s="40">
        <v>0</v>
      </c>
      <c r="CP61" s="85">
        <v>53493</v>
      </c>
      <c r="CQ61" s="40"/>
      <c r="CR61" s="87"/>
      <c r="CS61" s="40">
        <f t="shared" si="30"/>
        <v>3760000</v>
      </c>
      <c r="CT61" s="40"/>
      <c r="CU61" s="40">
        <f t="shared" si="5"/>
        <v>3760000</v>
      </c>
      <c r="CV61" s="151"/>
      <c r="CW61" s="85">
        <v>53493</v>
      </c>
      <c r="CY61" s="40"/>
      <c r="CZ61" s="87"/>
      <c r="DB61" s="40">
        <v>0</v>
      </c>
      <c r="DC61" s="151"/>
      <c r="DD61" s="85">
        <v>53493</v>
      </c>
      <c r="DE61" s="40"/>
      <c r="DF61" s="87"/>
      <c r="DG61" s="40"/>
      <c r="DH61" s="87"/>
      <c r="DI61" s="40"/>
      <c r="DJ61" s="87"/>
      <c r="DK61" s="40"/>
      <c r="DL61" s="87"/>
      <c r="DM61" s="40">
        <f t="shared" si="39"/>
        <v>0</v>
      </c>
      <c r="DN61" s="40"/>
      <c r="DO61" s="40">
        <f t="shared" si="7"/>
        <v>0</v>
      </c>
      <c r="DP61" s="151"/>
      <c r="DQ61" s="85">
        <v>53493</v>
      </c>
      <c r="DR61" s="40"/>
      <c r="DS61" s="87"/>
      <c r="DT61" s="40">
        <f t="shared" si="8"/>
        <v>0</v>
      </c>
      <c r="DU61" s="40">
        <f t="shared" si="9"/>
        <v>0</v>
      </c>
      <c r="DV61" s="151"/>
      <c r="DW61" s="85">
        <v>53493</v>
      </c>
      <c r="DX61" s="40"/>
      <c r="DY61" s="40"/>
      <c r="DZ61" s="40"/>
      <c r="EA61" s="40"/>
      <c r="EB61" s="40">
        <f t="shared" si="10"/>
        <v>0</v>
      </c>
      <c r="EC61" s="40"/>
      <c r="ED61" s="85">
        <v>53493</v>
      </c>
      <c r="EI61" s="40">
        <f t="shared" si="11"/>
        <v>0</v>
      </c>
      <c r="EJ61" s="85"/>
      <c r="EK61" s="85">
        <v>53493</v>
      </c>
      <c r="EQ61" s="85">
        <v>53493</v>
      </c>
      <c r="ES61" s="101"/>
      <c r="ET61" s="40">
        <f t="shared" si="33"/>
        <v>0</v>
      </c>
      <c r="EU61" s="40">
        <f t="shared" si="12"/>
        <v>0</v>
      </c>
      <c r="EW61" s="85">
        <v>53493</v>
      </c>
      <c r="EY61" s="101"/>
      <c r="EZ61" s="40">
        <f t="shared" si="34"/>
        <v>0</v>
      </c>
      <c r="FA61" s="40">
        <f t="shared" si="13"/>
        <v>0</v>
      </c>
      <c r="FC61" s="85">
        <v>53493</v>
      </c>
      <c r="FH61" s="40">
        <f t="shared" si="14"/>
        <v>0</v>
      </c>
      <c r="FJ61" s="85">
        <v>53493</v>
      </c>
      <c r="FO61" s="40">
        <f t="shared" si="15"/>
        <v>0</v>
      </c>
      <c r="FQ61" s="85">
        <v>53493</v>
      </c>
      <c r="FV61" s="40">
        <f t="shared" si="16"/>
        <v>0</v>
      </c>
      <c r="FX61" s="85">
        <v>53493</v>
      </c>
      <c r="GC61" s="40">
        <f t="shared" si="17"/>
        <v>0</v>
      </c>
    </row>
    <row r="62" spans="2:185" x14ac:dyDescent="0.25">
      <c r="B62" s="85">
        <v>53692</v>
      </c>
      <c r="C62" s="85"/>
      <c r="D62" s="85">
        <v>53676</v>
      </c>
      <c r="E62" s="40">
        <f t="shared" si="18"/>
        <v>0</v>
      </c>
      <c r="F62" s="40">
        <f t="shared" si="19"/>
        <v>3760000</v>
      </c>
      <c r="G62" s="40">
        <f t="shared" si="20"/>
        <v>0</v>
      </c>
      <c r="H62" s="40">
        <v>0</v>
      </c>
      <c r="I62" s="40">
        <f t="shared" si="21"/>
        <v>3760000</v>
      </c>
      <c r="J62" s="40"/>
      <c r="L62" s="85">
        <v>53676</v>
      </c>
      <c r="M62" s="40"/>
      <c r="N62" s="101"/>
      <c r="O62" s="40">
        <f t="shared" si="37"/>
        <v>0</v>
      </c>
      <c r="P62" s="40"/>
      <c r="Q62" s="40"/>
      <c r="R62" s="40">
        <f t="shared" si="22"/>
        <v>0</v>
      </c>
      <c r="T62" s="85">
        <v>53676</v>
      </c>
      <c r="U62" s="40"/>
      <c r="V62" s="101"/>
      <c r="W62" s="40">
        <f t="shared" si="23"/>
        <v>0</v>
      </c>
      <c r="X62" s="40"/>
      <c r="Y62" s="40"/>
      <c r="Z62" s="40">
        <f t="shared" si="24"/>
        <v>0</v>
      </c>
      <c r="AB62" s="85">
        <v>53676</v>
      </c>
      <c r="AC62" s="40"/>
      <c r="AD62" s="101"/>
      <c r="AE62" s="40">
        <f t="shared" si="25"/>
        <v>0</v>
      </c>
      <c r="AF62" s="40"/>
      <c r="AG62" s="40"/>
      <c r="AH62" s="40">
        <f t="shared" si="26"/>
        <v>0</v>
      </c>
      <c r="AJ62" s="85">
        <v>53676</v>
      </c>
      <c r="AK62" s="40"/>
      <c r="AL62" s="101"/>
      <c r="AM62" s="40">
        <f t="shared" si="27"/>
        <v>0</v>
      </c>
      <c r="AN62" s="40"/>
      <c r="AO62" s="40"/>
      <c r="AP62" s="40">
        <f t="shared" si="28"/>
        <v>0</v>
      </c>
      <c r="AR62" s="85">
        <v>53676</v>
      </c>
      <c r="AS62" s="40"/>
      <c r="AT62" s="101"/>
      <c r="AU62" s="40"/>
      <c r="AV62" s="101"/>
      <c r="AW62" s="40">
        <f t="shared" si="1"/>
        <v>0</v>
      </c>
      <c r="AX62" s="40"/>
      <c r="AY62" s="40"/>
      <c r="AZ62" s="40">
        <f t="shared" si="2"/>
        <v>0</v>
      </c>
      <c r="BB62" s="85">
        <v>53676</v>
      </c>
      <c r="BC62" s="40"/>
      <c r="BD62" s="40"/>
      <c r="BE62" s="40"/>
      <c r="BF62" s="40"/>
      <c r="BG62" s="40">
        <f t="shared" si="4"/>
        <v>0</v>
      </c>
      <c r="BI62" s="85">
        <v>53676</v>
      </c>
      <c r="BJ62" s="40"/>
      <c r="BK62" s="40"/>
      <c r="BL62" s="40"/>
      <c r="BM62" s="40"/>
      <c r="BN62" s="40">
        <v>0</v>
      </c>
      <c r="BP62" s="85">
        <v>53676</v>
      </c>
      <c r="BQ62" s="40"/>
      <c r="BR62" s="40"/>
      <c r="BS62" s="40"/>
      <c r="BT62" s="40"/>
      <c r="BU62" s="40">
        <v>0</v>
      </c>
      <c r="BW62" s="85">
        <v>53676</v>
      </c>
      <c r="BX62" s="40"/>
      <c r="BY62" s="40"/>
      <c r="BZ62" s="40"/>
      <c r="CA62" s="40"/>
      <c r="CB62" s="40">
        <v>0</v>
      </c>
      <c r="CD62" s="85">
        <v>53676</v>
      </c>
      <c r="CE62" s="40"/>
      <c r="CF62" s="40"/>
      <c r="CG62" s="40"/>
      <c r="CH62" s="40">
        <v>0</v>
      </c>
      <c r="CJ62" s="85">
        <v>53676</v>
      </c>
      <c r="CK62" s="40"/>
      <c r="CL62" s="87">
        <v>0</v>
      </c>
      <c r="CM62" s="40"/>
      <c r="CN62" s="40">
        <v>0</v>
      </c>
      <c r="CP62" s="85">
        <v>53676</v>
      </c>
      <c r="CQ62" s="40"/>
      <c r="CR62" s="87"/>
      <c r="CS62" s="40">
        <f t="shared" si="30"/>
        <v>3760000</v>
      </c>
      <c r="CT62" s="40"/>
      <c r="CU62" s="40">
        <f t="shared" si="5"/>
        <v>3760000</v>
      </c>
      <c r="CV62" s="151"/>
      <c r="CW62" s="85">
        <v>53676</v>
      </c>
      <c r="CY62" s="40"/>
      <c r="CZ62" s="87"/>
      <c r="DB62" s="40">
        <v>0</v>
      </c>
      <c r="DC62" s="151"/>
      <c r="DD62" s="85">
        <v>53676</v>
      </c>
      <c r="DE62" s="40"/>
      <c r="DF62" s="87"/>
      <c r="DG62" s="40"/>
      <c r="DH62" s="87"/>
      <c r="DI62" s="40"/>
      <c r="DJ62" s="87"/>
      <c r="DK62" s="40"/>
      <c r="DL62" s="87"/>
      <c r="DM62" s="40">
        <f t="shared" si="39"/>
        <v>0</v>
      </c>
      <c r="DN62" s="40"/>
      <c r="DO62" s="40">
        <f t="shared" si="7"/>
        <v>0</v>
      </c>
      <c r="DP62" s="151"/>
      <c r="DQ62" s="85">
        <v>53676</v>
      </c>
      <c r="DR62" s="40"/>
      <c r="DS62" s="87"/>
      <c r="DT62" s="40">
        <f t="shared" si="8"/>
        <v>0</v>
      </c>
      <c r="DU62" s="40">
        <f t="shared" si="9"/>
        <v>0</v>
      </c>
      <c r="DV62" s="151"/>
      <c r="DW62" s="85">
        <v>53676</v>
      </c>
      <c r="DX62" s="40"/>
      <c r="DY62" s="40"/>
      <c r="DZ62" s="40"/>
      <c r="EA62" s="40"/>
      <c r="EB62" s="40">
        <f t="shared" si="10"/>
        <v>0</v>
      </c>
      <c r="EC62" s="40"/>
      <c r="ED62" s="85">
        <v>53676</v>
      </c>
      <c r="EE62" s="40"/>
      <c r="EF62" s="40"/>
      <c r="EG62" s="40"/>
      <c r="EH62" s="40"/>
      <c r="EI62" s="40">
        <f t="shared" si="11"/>
        <v>0</v>
      </c>
      <c r="EJ62" s="85"/>
      <c r="EK62" s="85">
        <v>53676</v>
      </c>
      <c r="EP62" s="151"/>
      <c r="EQ62" s="85">
        <v>53676</v>
      </c>
      <c r="ES62" s="101"/>
      <c r="ET62" s="40">
        <f t="shared" si="33"/>
        <v>0</v>
      </c>
      <c r="EU62" s="40">
        <f t="shared" si="12"/>
        <v>0</v>
      </c>
      <c r="EV62" s="151"/>
      <c r="EW62" s="85">
        <v>53676</v>
      </c>
      <c r="EY62" s="101"/>
      <c r="EZ62" s="40">
        <f t="shared" si="34"/>
        <v>0</v>
      </c>
      <c r="FA62" s="40">
        <f t="shared" si="13"/>
        <v>0</v>
      </c>
      <c r="FB62" s="151"/>
      <c r="FC62" s="85">
        <v>53676</v>
      </c>
      <c r="FH62" s="40">
        <f t="shared" si="14"/>
        <v>0</v>
      </c>
      <c r="FI62" s="151"/>
      <c r="FJ62" s="85">
        <v>53676</v>
      </c>
      <c r="FO62" s="40">
        <f t="shared" si="15"/>
        <v>0</v>
      </c>
      <c r="FP62" s="151"/>
      <c r="FQ62" s="85">
        <v>53676</v>
      </c>
      <c r="FV62" s="40">
        <f t="shared" si="16"/>
        <v>0</v>
      </c>
      <c r="FW62" s="151"/>
      <c r="FX62" s="85">
        <v>53676</v>
      </c>
      <c r="GC62" s="40">
        <f t="shared" si="17"/>
        <v>0</v>
      </c>
    </row>
    <row r="63" spans="2:185" x14ac:dyDescent="0.25">
      <c r="B63" s="85">
        <v>53873</v>
      </c>
      <c r="C63" s="85"/>
      <c r="D63" s="85">
        <v>53858</v>
      </c>
      <c r="E63" s="40">
        <f t="shared" si="18"/>
        <v>0</v>
      </c>
      <c r="F63" s="40">
        <f t="shared" si="19"/>
        <v>3760000</v>
      </c>
      <c r="G63" s="40">
        <f t="shared" si="20"/>
        <v>0</v>
      </c>
      <c r="H63" s="40">
        <v>0</v>
      </c>
      <c r="I63" s="40">
        <f t="shared" si="21"/>
        <v>3760000</v>
      </c>
      <c r="J63" s="40">
        <f>SUM(I62:I63)</f>
        <v>7520000</v>
      </c>
      <c r="L63" s="85">
        <v>53858</v>
      </c>
      <c r="M63" s="40"/>
      <c r="N63" s="101"/>
      <c r="O63" s="40">
        <f t="shared" si="37"/>
        <v>0</v>
      </c>
      <c r="P63" s="40"/>
      <c r="Q63" s="40"/>
      <c r="R63" s="40">
        <f t="shared" si="22"/>
        <v>0</v>
      </c>
      <c r="T63" s="85">
        <v>53858</v>
      </c>
      <c r="U63" s="40"/>
      <c r="V63" s="101"/>
      <c r="W63" s="40">
        <f t="shared" si="23"/>
        <v>0</v>
      </c>
      <c r="X63" s="40"/>
      <c r="Y63" s="40"/>
      <c r="Z63" s="40">
        <f t="shared" si="24"/>
        <v>0</v>
      </c>
      <c r="AB63" s="85">
        <v>53858</v>
      </c>
      <c r="AC63" s="40"/>
      <c r="AD63" s="101"/>
      <c r="AE63" s="40">
        <f t="shared" si="25"/>
        <v>0</v>
      </c>
      <c r="AF63" s="40"/>
      <c r="AG63" s="40"/>
      <c r="AH63" s="40">
        <f t="shared" si="26"/>
        <v>0</v>
      </c>
      <c r="AJ63" s="85">
        <v>53858</v>
      </c>
      <c r="AK63" s="40"/>
      <c r="AL63" s="101"/>
      <c r="AM63" s="40">
        <f t="shared" si="27"/>
        <v>0</v>
      </c>
      <c r="AN63" s="40"/>
      <c r="AO63" s="40"/>
      <c r="AP63" s="40">
        <f t="shared" si="28"/>
        <v>0</v>
      </c>
      <c r="AR63" s="85">
        <v>53858</v>
      </c>
      <c r="AS63" s="40"/>
      <c r="AT63" s="101"/>
      <c r="AU63" s="40"/>
      <c r="AV63" s="101"/>
      <c r="AW63" s="40">
        <f t="shared" si="1"/>
        <v>0</v>
      </c>
      <c r="AX63" s="40"/>
      <c r="AY63" s="40"/>
      <c r="AZ63" s="40">
        <f t="shared" si="2"/>
        <v>0</v>
      </c>
      <c r="BB63" s="85">
        <v>53858</v>
      </c>
      <c r="BC63" s="40"/>
      <c r="BD63" s="40"/>
      <c r="BE63" s="40"/>
      <c r="BF63" s="40"/>
      <c r="BG63" s="40">
        <f t="shared" si="4"/>
        <v>0</v>
      </c>
      <c r="BI63" s="85">
        <v>53858</v>
      </c>
      <c r="BJ63" s="40"/>
      <c r="BK63" s="40"/>
      <c r="BL63" s="40"/>
      <c r="BM63" s="40"/>
      <c r="BN63" s="40">
        <v>0</v>
      </c>
      <c r="BP63" s="85">
        <v>53858</v>
      </c>
      <c r="BQ63" s="40"/>
      <c r="BR63" s="40"/>
      <c r="BS63" s="40"/>
      <c r="BT63" s="40"/>
      <c r="BU63" s="40">
        <v>0</v>
      </c>
      <c r="BW63" s="85">
        <v>53858</v>
      </c>
      <c r="BX63" s="40"/>
      <c r="BY63" s="40"/>
      <c r="BZ63" s="40"/>
      <c r="CA63" s="40"/>
      <c r="CB63" s="40">
        <v>0</v>
      </c>
      <c r="CD63" s="85">
        <v>53858</v>
      </c>
      <c r="CE63" s="40"/>
      <c r="CF63" s="40"/>
      <c r="CG63" s="40"/>
      <c r="CH63" s="40">
        <v>0</v>
      </c>
      <c r="CJ63" s="85">
        <v>53858</v>
      </c>
      <c r="CK63" s="40"/>
      <c r="CL63" s="87">
        <v>0</v>
      </c>
      <c r="CM63" s="40"/>
      <c r="CN63" s="40">
        <v>0</v>
      </c>
      <c r="CP63" s="85">
        <v>53858</v>
      </c>
      <c r="CQ63" s="40"/>
      <c r="CR63" s="87"/>
      <c r="CS63" s="40">
        <f t="shared" si="30"/>
        <v>3760000</v>
      </c>
      <c r="CT63" s="40"/>
      <c r="CU63" s="40">
        <f t="shared" si="5"/>
        <v>3760000</v>
      </c>
      <c r="CV63" s="151"/>
      <c r="CW63" s="85">
        <v>53858</v>
      </c>
      <c r="CY63" s="40"/>
      <c r="CZ63" s="87"/>
      <c r="DB63" s="40">
        <v>0</v>
      </c>
      <c r="DC63" s="151"/>
      <c r="DD63" s="85">
        <v>53858</v>
      </c>
      <c r="DE63" s="40"/>
      <c r="DF63" s="87"/>
      <c r="DG63" s="40"/>
      <c r="DH63" s="87"/>
      <c r="DI63" s="40"/>
      <c r="DJ63" s="87"/>
      <c r="DK63" s="40"/>
      <c r="DL63" s="87"/>
      <c r="DM63" s="40">
        <f t="shared" si="39"/>
        <v>0</v>
      </c>
      <c r="DN63" s="40"/>
      <c r="DO63" s="40">
        <f t="shared" si="7"/>
        <v>0</v>
      </c>
      <c r="DP63" s="151"/>
      <c r="DQ63" s="85">
        <v>53858</v>
      </c>
      <c r="DR63" s="40"/>
      <c r="DS63" s="87"/>
      <c r="DT63" s="40">
        <f t="shared" si="8"/>
        <v>0</v>
      </c>
      <c r="DU63" s="40">
        <f t="shared" si="9"/>
        <v>0</v>
      </c>
      <c r="DV63" s="151"/>
      <c r="DW63" s="85">
        <v>53858</v>
      </c>
      <c r="DX63" s="40"/>
      <c r="DY63" s="40"/>
      <c r="DZ63" s="40"/>
      <c r="EA63" s="40"/>
      <c r="EB63" s="40">
        <f t="shared" si="10"/>
        <v>0</v>
      </c>
      <c r="EC63" s="40"/>
      <c r="ED63" s="85">
        <v>53858</v>
      </c>
      <c r="EE63" s="40"/>
      <c r="EF63" s="40"/>
      <c r="EG63" s="40"/>
      <c r="EH63" s="40"/>
      <c r="EI63" s="40">
        <f t="shared" si="11"/>
        <v>0</v>
      </c>
      <c r="EJ63" s="85"/>
      <c r="EK63" s="85">
        <v>53858</v>
      </c>
      <c r="EP63" s="151"/>
      <c r="EQ63" s="85">
        <v>53858</v>
      </c>
      <c r="ES63" s="101"/>
      <c r="ET63" s="40">
        <f t="shared" si="33"/>
        <v>0</v>
      </c>
      <c r="EU63" s="40">
        <f t="shared" si="12"/>
        <v>0</v>
      </c>
      <c r="EV63" s="151"/>
      <c r="EW63" s="85">
        <v>53858</v>
      </c>
      <c r="EY63" s="101"/>
      <c r="EZ63" s="40">
        <f t="shared" si="34"/>
        <v>0</v>
      </c>
      <c r="FA63" s="40">
        <f t="shared" si="13"/>
        <v>0</v>
      </c>
      <c r="FB63" s="151"/>
      <c r="FC63" s="85">
        <v>53858</v>
      </c>
      <c r="FH63" s="40">
        <f t="shared" si="14"/>
        <v>0</v>
      </c>
      <c r="FI63" s="151"/>
      <c r="FJ63" s="85">
        <v>53858</v>
      </c>
      <c r="FO63" s="40">
        <f t="shared" si="15"/>
        <v>0</v>
      </c>
      <c r="FP63" s="151"/>
      <c r="FQ63" s="85">
        <v>53858</v>
      </c>
      <c r="FV63" s="40">
        <f t="shared" si="16"/>
        <v>0</v>
      </c>
      <c r="FW63" s="151"/>
      <c r="FX63" s="85">
        <v>53858</v>
      </c>
      <c r="GC63" s="40">
        <f t="shared" si="17"/>
        <v>0</v>
      </c>
    </row>
    <row r="64" spans="2:185" x14ac:dyDescent="0.25">
      <c r="B64" s="85">
        <v>54057</v>
      </c>
      <c r="C64" s="85"/>
      <c r="D64" s="85">
        <v>54041</v>
      </c>
      <c r="E64" s="40">
        <f t="shared" si="18"/>
        <v>0</v>
      </c>
      <c r="F64" s="40">
        <f t="shared" si="19"/>
        <v>3760000</v>
      </c>
      <c r="G64" s="40">
        <f t="shared" si="20"/>
        <v>0</v>
      </c>
      <c r="H64" s="40">
        <v>0</v>
      </c>
      <c r="I64" s="40">
        <f t="shared" si="21"/>
        <v>3760000</v>
      </c>
      <c r="J64" s="40"/>
      <c r="L64" s="85">
        <v>54041</v>
      </c>
      <c r="M64" s="40"/>
      <c r="N64" s="101"/>
      <c r="O64" s="40">
        <f t="shared" si="37"/>
        <v>0</v>
      </c>
      <c r="P64" s="40"/>
      <c r="Q64" s="40"/>
      <c r="R64" s="40">
        <f t="shared" si="22"/>
        <v>0</v>
      </c>
      <c r="T64" s="85">
        <v>54041</v>
      </c>
      <c r="U64" s="40"/>
      <c r="V64" s="101"/>
      <c r="W64" s="40">
        <f t="shared" si="23"/>
        <v>0</v>
      </c>
      <c r="X64" s="40"/>
      <c r="Y64" s="40"/>
      <c r="Z64" s="40">
        <f t="shared" si="24"/>
        <v>0</v>
      </c>
      <c r="AB64" s="85">
        <v>54041</v>
      </c>
      <c r="AC64" s="40"/>
      <c r="AD64" s="101"/>
      <c r="AE64" s="40">
        <f t="shared" si="25"/>
        <v>0</v>
      </c>
      <c r="AF64" s="40"/>
      <c r="AG64" s="40"/>
      <c r="AH64" s="40">
        <f t="shared" si="26"/>
        <v>0</v>
      </c>
      <c r="AJ64" s="85">
        <v>54041</v>
      </c>
      <c r="AK64" s="40"/>
      <c r="AL64" s="101"/>
      <c r="AM64" s="40">
        <f t="shared" si="27"/>
        <v>0</v>
      </c>
      <c r="AN64" s="40"/>
      <c r="AO64" s="40"/>
      <c r="AP64" s="40">
        <f t="shared" si="28"/>
        <v>0</v>
      </c>
      <c r="AR64" s="85">
        <v>54041</v>
      </c>
      <c r="AS64" s="40"/>
      <c r="AT64" s="101"/>
      <c r="AU64" s="40"/>
      <c r="AV64" s="101"/>
      <c r="AW64" s="40">
        <f t="shared" si="1"/>
        <v>0</v>
      </c>
      <c r="AX64" s="40"/>
      <c r="AY64" s="40"/>
      <c r="AZ64" s="40">
        <f t="shared" si="2"/>
        <v>0</v>
      </c>
      <c r="BB64" s="85">
        <v>54041</v>
      </c>
      <c r="BC64" s="40"/>
      <c r="BD64" s="40"/>
      <c r="BE64" s="40"/>
      <c r="BF64" s="40"/>
      <c r="BG64" s="40">
        <f t="shared" si="4"/>
        <v>0</v>
      </c>
      <c r="BI64" s="85">
        <v>54041</v>
      </c>
      <c r="BJ64" s="40"/>
      <c r="BK64" s="40"/>
      <c r="BL64" s="40"/>
      <c r="BM64" s="40"/>
      <c r="BN64" s="40">
        <v>0</v>
      </c>
      <c r="BP64" s="85">
        <v>54041</v>
      </c>
      <c r="BQ64" s="40"/>
      <c r="BR64" s="40"/>
      <c r="BS64" s="40"/>
      <c r="BT64" s="40"/>
      <c r="BU64" s="40">
        <v>0</v>
      </c>
      <c r="BW64" s="85">
        <v>54041</v>
      </c>
      <c r="BX64" s="40"/>
      <c r="BY64" s="40"/>
      <c r="BZ64" s="40"/>
      <c r="CA64" s="40"/>
      <c r="CB64" s="40">
        <v>0</v>
      </c>
      <c r="CD64" s="85">
        <v>54041</v>
      </c>
      <c r="CE64" s="40"/>
      <c r="CF64" s="40"/>
      <c r="CG64" s="40"/>
      <c r="CH64" s="40">
        <v>0</v>
      </c>
      <c r="CJ64" s="85">
        <v>54041</v>
      </c>
      <c r="CK64" s="40"/>
      <c r="CL64" s="87">
        <v>0</v>
      </c>
      <c r="CM64" s="40"/>
      <c r="CN64" s="40">
        <v>0</v>
      </c>
      <c r="CP64" s="85">
        <v>54041</v>
      </c>
      <c r="CQ64" s="40"/>
      <c r="CR64" s="87"/>
      <c r="CS64" s="40">
        <f t="shared" si="30"/>
        <v>3760000</v>
      </c>
      <c r="CT64" s="40"/>
      <c r="CU64" s="40">
        <f t="shared" si="5"/>
        <v>3760000</v>
      </c>
      <c r="CV64" s="151"/>
      <c r="CW64" s="85">
        <v>54041</v>
      </c>
      <c r="CY64" s="40"/>
      <c r="CZ64" s="87"/>
      <c r="DB64" s="40">
        <v>0</v>
      </c>
      <c r="DC64" s="151"/>
      <c r="DD64" s="85">
        <v>54041</v>
      </c>
      <c r="DE64" s="40"/>
      <c r="DF64" s="87"/>
      <c r="DG64" s="40"/>
      <c r="DH64" s="87"/>
      <c r="DI64" s="40"/>
      <c r="DJ64" s="87"/>
      <c r="DK64" s="40"/>
      <c r="DL64" s="87"/>
      <c r="DM64" s="40">
        <f t="shared" si="39"/>
        <v>0</v>
      </c>
      <c r="DN64" s="40"/>
      <c r="DO64" s="40">
        <f t="shared" si="7"/>
        <v>0</v>
      </c>
      <c r="DP64" s="151"/>
      <c r="DQ64" s="85">
        <v>54041</v>
      </c>
      <c r="DR64" s="40"/>
      <c r="DS64" s="87"/>
      <c r="DT64" s="40">
        <f t="shared" si="8"/>
        <v>0</v>
      </c>
      <c r="DU64" s="40">
        <f t="shared" si="9"/>
        <v>0</v>
      </c>
      <c r="DV64" s="151"/>
      <c r="DW64" s="85">
        <v>54041</v>
      </c>
      <c r="DX64" s="40"/>
      <c r="DY64" s="40"/>
      <c r="DZ64" s="40"/>
      <c r="EA64" s="40"/>
      <c r="EB64" s="40">
        <f t="shared" si="10"/>
        <v>0</v>
      </c>
      <c r="EC64" s="40"/>
      <c r="ED64" s="85">
        <v>54041</v>
      </c>
      <c r="EE64" s="40"/>
      <c r="EF64" s="40"/>
      <c r="EG64" s="40"/>
      <c r="EH64" s="40"/>
      <c r="EI64" s="40">
        <f t="shared" si="11"/>
        <v>0</v>
      </c>
      <c r="EJ64" s="85"/>
      <c r="EK64" s="85">
        <v>54041</v>
      </c>
      <c r="EP64" s="151"/>
      <c r="EQ64" s="85">
        <v>54041</v>
      </c>
      <c r="ES64" s="101"/>
      <c r="ET64" s="40">
        <f t="shared" si="33"/>
        <v>0</v>
      </c>
      <c r="EU64" s="40">
        <f t="shared" si="12"/>
        <v>0</v>
      </c>
      <c r="EV64" s="151"/>
      <c r="EW64" s="85">
        <v>54041</v>
      </c>
      <c r="EY64" s="101"/>
      <c r="EZ64" s="40">
        <f t="shared" si="34"/>
        <v>0</v>
      </c>
      <c r="FA64" s="40">
        <f t="shared" si="13"/>
        <v>0</v>
      </c>
      <c r="FB64" s="151"/>
      <c r="FC64" s="85">
        <v>54041</v>
      </c>
      <c r="FH64" s="40">
        <f t="shared" si="14"/>
        <v>0</v>
      </c>
      <c r="FI64" s="151"/>
      <c r="FJ64" s="85">
        <v>54041</v>
      </c>
      <c r="FO64" s="40">
        <f t="shared" si="15"/>
        <v>0</v>
      </c>
      <c r="FP64" s="151"/>
      <c r="FQ64" s="85">
        <v>54041</v>
      </c>
      <c r="FV64" s="40">
        <f t="shared" si="16"/>
        <v>0</v>
      </c>
      <c r="FW64" s="151"/>
      <c r="FX64" s="85">
        <v>54041</v>
      </c>
      <c r="GC64" s="40">
        <f t="shared" si="17"/>
        <v>0</v>
      </c>
    </row>
    <row r="65" spans="2:185" x14ac:dyDescent="0.25">
      <c r="B65" s="85">
        <v>54239</v>
      </c>
      <c r="C65" s="85"/>
      <c r="D65" s="85">
        <v>54224</v>
      </c>
      <c r="E65" s="40">
        <f t="shared" si="18"/>
        <v>0</v>
      </c>
      <c r="F65" s="40">
        <f t="shared" si="19"/>
        <v>3760000</v>
      </c>
      <c r="G65" s="40">
        <f t="shared" si="20"/>
        <v>0</v>
      </c>
      <c r="H65" s="40">
        <v>0</v>
      </c>
      <c r="I65" s="40">
        <f t="shared" si="21"/>
        <v>3760000</v>
      </c>
      <c r="J65" s="40">
        <f>SUM(I64:I65)</f>
        <v>7520000</v>
      </c>
      <c r="L65" s="85">
        <v>54224</v>
      </c>
      <c r="M65" s="40"/>
      <c r="N65" s="101"/>
      <c r="O65" s="40">
        <f t="shared" si="37"/>
        <v>0</v>
      </c>
      <c r="P65" s="40"/>
      <c r="Q65" s="40"/>
      <c r="R65" s="40">
        <f t="shared" si="22"/>
        <v>0</v>
      </c>
      <c r="T65" s="85">
        <v>54224</v>
      </c>
      <c r="U65" s="40"/>
      <c r="V65" s="101"/>
      <c r="W65" s="40">
        <f t="shared" si="23"/>
        <v>0</v>
      </c>
      <c r="X65" s="40"/>
      <c r="Y65" s="40"/>
      <c r="Z65" s="40">
        <f t="shared" si="24"/>
        <v>0</v>
      </c>
      <c r="AB65" s="85">
        <v>54224</v>
      </c>
      <c r="AC65" s="40"/>
      <c r="AD65" s="101"/>
      <c r="AE65" s="40">
        <f t="shared" si="25"/>
        <v>0</v>
      </c>
      <c r="AF65" s="40"/>
      <c r="AG65" s="40"/>
      <c r="AH65" s="40">
        <f t="shared" si="26"/>
        <v>0</v>
      </c>
      <c r="AJ65" s="85">
        <v>54224</v>
      </c>
      <c r="AK65" s="40"/>
      <c r="AL65" s="101"/>
      <c r="AM65" s="40">
        <f t="shared" si="27"/>
        <v>0</v>
      </c>
      <c r="AN65" s="40"/>
      <c r="AO65" s="40"/>
      <c r="AP65" s="40">
        <f t="shared" si="28"/>
        <v>0</v>
      </c>
      <c r="AR65" s="85">
        <v>54224</v>
      </c>
      <c r="AS65" s="40"/>
      <c r="AT65" s="101"/>
      <c r="AU65" s="40"/>
      <c r="AV65" s="101"/>
      <c r="AW65" s="40">
        <f t="shared" si="1"/>
        <v>0</v>
      </c>
      <c r="AX65" s="40"/>
      <c r="AY65" s="40"/>
      <c r="AZ65" s="40">
        <f t="shared" si="2"/>
        <v>0</v>
      </c>
      <c r="BB65" s="85">
        <v>54224</v>
      </c>
      <c r="BC65" s="40"/>
      <c r="BD65" s="40"/>
      <c r="BE65" s="40"/>
      <c r="BF65" s="40"/>
      <c r="BG65" s="40">
        <f t="shared" si="4"/>
        <v>0</v>
      </c>
      <c r="BI65" s="85">
        <v>54224</v>
      </c>
      <c r="BJ65" s="40"/>
      <c r="BK65" s="40"/>
      <c r="BL65" s="40"/>
      <c r="BM65" s="40"/>
      <c r="BN65" s="40">
        <v>0</v>
      </c>
      <c r="BP65" s="85">
        <v>54224</v>
      </c>
      <c r="BQ65" s="40"/>
      <c r="BR65" s="40"/>
      <c r="BS65" s="40"/>
      <c r="BT65" s="40"/>
      <c r="BU65" s="40">
        <v>0</v>
      </c>
      <c r="BW65" s="85">
        <v>54224</v>
      </c>
      <c r="BX65" s="40"/>
      <c r="BY65" s="40"/>
      <c r="BZ65" s="40"/>
      <c r="CA65" s="40"/>
      <c r="CB65" s="40">
        <v>0</v>
      </c>
      <c r="CD65" s="85">
        <v>54224</v>
      </c>
      <c r="CE65" s="40"/>
      <c r="CF65" s="40"/>
      <c r="CG65" s="40"/>
      <c r="CH65" s="40">
        <v>0</v>
      </c>
      <c r="CJ65" s="85">
        <v>54224</v>
      </c>
      <c r="CK65" s="40"/>
      <c r="CL65" s="87">
        <v>0</v>
      </c>
      <c r="CM65" s="40"/>
      <c r="CN65" s="40">
        <v>0</v>
      </c>
      <c r="CP65" s="85">
        <v>54224</v>
      </c>
      <c r="CQ65" s="40"/>
      <c r="CR65" s="87"/>
      <c r="CS65" s="40">
        <f t="shared" si="30"/>
        <v>3760000</v>
      </c>
      <c r="CT65" s="40"/>
      <c r="CU65" s="40">
        <f t="shared" si="5"/>
        <v>3760000</v>
      </c>
      <c r="CV65" s="151"/>
      <c r="CW65" s="85">
        <v>54224</v>
      </c>
      <c r="CY65" s="40"/>
      <c r="CZ65" s="87"/>
      <c r="DB65" s="40">
        <v>0</v>
      </c>
      <c r="DC65" s="151"/>
      <c r="DD65" s="85">
        <v>54224</v>
      </c>
      <c r="DE65" s="40"/>
      <c r="DF65" s="87"/>
      <c r="DG65" s="40"/>
      <c r="DH65" s="87"/>
      <c r="DI65" s="40"/>
      <c r="DJ65" s="87"/>
      <c r="DK65" s="40"/>
      <c r="DL65" s="87"/>
      <c r="DM65" s="40">
        <f t="shared" si="39"/>
        <v>0</v>
      </c>
      <c r="DN65" s="40"/>
      <c r="DO65" s="40">
        <f t="shared" si="7"/>
        <v>0</v>
      </c>
      <c r="DP65" s="151"/>
      <c r="DQ65" s="85">
        <v>54224</v>
      </c>
      <c r="DR65" s="40"/>
      <c r="DS65" s="87"/>
      <c r="DT65" s="40">
        <f t="shared" si="8"/>
        <v>0</v>
      </c>
      <c r="DU65" s="40">
        <f t="shared" si="9"/>
        <v>0</v>
      </c>
      <c r="DV65" s="151"/>
      <c r="DW65" s="85">
        <v>54224</v>
      </c>
      <c r="DX65" s="40"/>
      <c r="DY65" s="40"/>
      <c r="DZ65" s="40"/>
      <c r="EA65" s="40"/>
      <c r="EB65" s="40">
        <f t="shared" si="10"/>
        <v>0</v>
      </c>
      <c r="EC65" s="40"/>
      <c r="ED65" s="85">
        <v>54224</v>
      </c>
      <c r="EE65" s="40"/>
      <c r="EF65" s="40"/>
      <c r="EG65" s="40"/>
      <c r="EH65" s="40"/>
      <c r="EI65" s="40">
        <f t="shared" si="11"/>
        <v>0</v>
      </c>
      <c r="EJ65" s="85"/>
      <c r="EK65" s="85">
        <v>54224</v>
      </c>
      <c r="EP65" s="151"/>
      <c r="EQ65" s="85">
        <v>54224</v>
      </c>
      <c r="ES65" s="101"/>
      <c r="ET65" s="40">
        <f t="shared" si="33"/>
        <v>0</v>
      </c>
      <c r="EU65" s="40">
        <f t="shared" si="12"/>
        <v>0</v>
      </c>
      <c r="EV65" s="151"/>
      <c r="EW65" s="85">
        <v>54224</v>
      </c>
      <c r="EY65" s="101"/>
      <c r="EZ65" s="40">
        <f t="shared" si="34"/>
        <v>0</v>
      </c>
      <c r="FA65" s="40">
        <f t="shared" si="13"/>
        <v>0</v>
      </c>
      <c r="FB65" s="151"/>
      <c r="FC65" s="85">
        <v>54224</v>
      </c>
      <c r="FH65" s="40">
        <f t="shared" si="14"/>
        <v>0</v>
      </c>
      <c r="FI65" s="151"/>
      <c r="FJ65" s="85">
        <v>54224</v>
      </c>
      <c r="FO65" s="40">
        <f t="shared" si="15"/>
        <v>0</v>
      </c>
      <c r="FP65" s="151"/>
      <c r="FQ65" s="85">
        <v>54224</v>
      </c>
      <c r="FV65" s="40">
        <f t="shared" si="16"/>
        <v>0</v>
      </c>
      <c r="FW65" s="151"/>
      <c r="FX65" s="85">
        <v>54224</v>
      </c>
      <c r="GC65" s="40">
        <f t="shared" si="17"/>
        <v>0</v>
      </c>
    </row>
    <row r="66" spans="2:185" x14ac:dyDescent="0.25">
      <c r="B66" s="85">
        <v>54423</v>
      </c>
      <c r="C66" s="85"/>
      <c r="D66" s="85">
        <v>54407</v>
      </c>
      <c r="E66" s="40">
        <f t="shared" si="18"/>
        <v>0</v>
      </c>
      <c r="F66" s="40">
        <f t="shared" si="19"/>
        <v>3760000</v>
      </c>
      <c r="G66" s="40">
        <f t="shared" si="20"/>
        <v>0</v>
      </c>
      <c r="H66" s="40">
        <v>0</v>
      </c>
      <c r="I66" s="40">
        <f t="shared" si="21"/>
        <v>3760000</v>
      </c>
      <c r="J66" s="40"/>
      <c r="L66" s="85">
        <v>54407</v>
      </c>
      <c r="M66" s="40"/>
      <c r="N66" s="101"/>
      <c r="O66" s="40">
        <f t="shared" si="37"/>
        <v>0</v>
      </c>
      <c r="P66" s="40"/>
      <c r="Q66" s="40"/>
      <c r="R66" s="40">
        <f t="shared" si="22"/>
        <v>0</v>
      </c>
      <c r="T66" s="85">
        <v>54407</v>
      </c>
      <c r="U66" s="40"/>
      <c r="V66" s="101"/>
      <c r="W66" s="40">
        <f t="shared" si="23"/>
        <v>0</v>
      </c>
      <c r="X66" s="40"/>
      <c r="Y66" s="40"/>
      <c r="Z66" s="40">
        <f t="shared" si="24"/>
        <v>0</v>
      </c>
      <c r="AB66" s="85">
        <v>54407</v>
      </c>
      <c r="AC66" s="40"/>
      <c r="AD66" s="101"/>
      <c r="AE66" s="40">
        <f t="shared" si="25"/>
        <v>0</v>
      </c>
      <c r="AF66" s="40"/>
      <c r="AG66" s="40"/>
      <c r="AH66" s="40">
        <f t="shared" si="26"/>
        <v>0</v>
      </c>
      <c r="AJ66" s="85">
        <v>54407</v>
      </c>
      <c r="AK66" s="40"/>
      <c r="AL66" s="101"/>
      <c r="AM66" s="40">
        <f t="shared" si="27"/>
        <v>0</v>
      </c>
      <c r="AN66" s="40"/>
      <c r="AO66" s="40"/>
      <c r="AP66" s="40">
        <f t="shared" si="28"/>
        <v>0</v>
      </c>
      <c r="AR66" s="85">
        <v>54407</v>
      </c>
      <c r="AS66" s="40"/>
      <c r="AT66" s="101"/>
      <c r="AU66" s="40"/>
      <c r="AV66" s="101"/>
      <c r="AW66" s="40">
        <f t="shared" si="1"/>
        <v>0</v>
      </c>
      <c r="AX66" s="40"/>
      <c r="AY66" s="40"/>
      <c r="AZ66" s="40">
        <f t="shared" si="2"/>
        <v>0</v>
      </c>
      <c r="BB66" s="85">
        <v>54407</v>
      </c>
      <c r="BC66" s="40"/>
      <c r="BD66" s="40"/>
      <c r="BE66" s="40"/>
      <c r="BF66" s="40"/>
      <c r="BG66" s="40">
        <f t="shared" si="4"/>
        <v>0</v>
      </c>
      <c r="BI66" s="85">
        <v>54407</v>
      </c>
      <c r="BJ66" s="40"/>
      <c r="BK66" s="40"/>
      <c r="BL66" s="40"/>
      <c r="BM66" s="40"/>
      <c r="BN66" s="40">
        <v>0</v>
      </c>
      <c r="BP66" s="85">
        <v>54407</v>
      </c>
      <c r="BQ66" s="40"/>
      <c r="BR66" s="40"/>
      <c r="BS66" s="40"/>
      <c r="BT66" s="40"/>
      <c r="BU66" s="40">
        <v>0</v>
      </c>
      <c r="BW66" s="85">
        <v>54407</v>
      </c>
      <c r="BX66" s="40"/>
      <c r="BY66" s="40"/>
      <c r="BZ66" s="40"/>
      <c r="CA66" s="40"/>
      <c r="CB66" s="40">
        <v>0</v>
      </c>
      <c r="CD66" s="85">
        <v>54407</v>
      </c>
      <c r="CE66" s="40"/>
      <c r="CF66" s="40"/>
      <c r="CG66" s="40"/>
      <c r="CH66" s="40">
        <v>0</v>
      </c>
      <c r="CJ66" s="85">
        <v>54407</v>
      </c>
      <c r="CK66" s="40"/>
      <c r="CL66" s="87">
        <v>0</v>
      </c>
      <c r="CM66" s="40"/>
      <c r="CN66" s="40">
        <v>0</v>
      </c>
      <c r="CP66" s="85">
        <v>54407</v>
      </c>
      <c r="CQ66" s="40"/>
      <c r="CR66" s="87"/>
      <c r="CS66" s="40">
        <f t="shared" si="30"/>
        <v>3760000</v>
      </c>
      <c r="CT66" s="40"/>
      <c r="CU66" s="40">
        <f t="shared" si="5"/>
        <v>3760000</v>
      </c>
      <c r="CV66" s="151"/>
      <c r="CW66" s="85">
        <v>54407</v>
      </c>
      <c r="CY66" s="40"/>
      <c r="CZ66" s="87"/>
      <c r="DB66" s="40">
        <v>0</v>
      </c>
      <c r="DC66" s="151"/>
      <c r="DD66" s="85">
        <v>54407</v>
      </c>
      <c r="DE66" s="40"/>
      <c r="DF66" s="87"/>
      <c r="DG66" s="40"/>
      <c r="DH66" s="87"/>
      <c r="DI66" s="40"/>
      <c r="DJ66" s="87"/>
      <c r="DK66" s="40"/>
      <c r="DL66" s="87"/>
      <c r="DM66" s="40">
        <f t="shared" si="39"/>
        <v>0</v>
      </c>
      <c r="DN66" s="40"/>
      <c r="DO66" s="40">
        <f t="shared" si="7"/>
        <v>0</v>
      </c>
      <c r="DP66" s="151"/>
      <c r="DQ66" s="85">
        <v>54407</v>
      </c>
      <c r="DR66" s="40"/>
      <c r="DS66" s="87"/>
      <c r="DT66" s="40">
        <f t="shared" si="8"/>
        <v>0</v>
      </c>
      <c r="DU66" s="40">
        <f t="shared" si="9"/>
        <v>0</v>
      </c>
      <c r="DV66" s="151"/>
      <c r="DW66" s="85">
        <v>54407</v>
      </c>
      <c r="DX66" s="40"/>
      <c r="DY66" s="40"/>
      <c r="DZ66" s="40"/>
      <c r="EA66" s="40"/>
      <c r="EB66" s="40">
        <f t="shared" si="10"/>
        <v>0</v>
      </c>
      <c r="EC66" s="40"/>
      <c r="ED66" s="85">
        <v>54407</v>
      </c>
      <c r="EE66" s="40"/>
      <c r="EF66" s="40"/>
      <c r="EG66" s="40"/>
      <c r="EH66" s="40"/>
      <c r="EI66" s="40">
        <f t="shared" si="11"/>
        <v>0</v>
      </c>
      <c r="EJ66" s="85"/>
      <c r="EK66" s="85">
        <v>54407</v>
      </c>
      <c r="EP66" s="151"/>
      <c r="EQ66" s="85">
        <v>54407</v>
      </c>
      <c r="ES66" s="101"/>
      <c r="ET66" s="40">
        <f t="shared" si="33"/>
        <v>0</v>
      </c>
      <c r="EU66" s="40">
        <f t="shared" si="12"/>
        <v>0</v>
      </c>
      <c r="EV66" s="151"/>
      <c r="EW66" s="85">
        <v>54407</v>
      </c>
      <c r="EY66" s="101"/>
      <c r="EZ66" s="40">
        <f t="shared" si="34"/>
        <v>0</v>
      </c>
      <c r="FA66" s="40">
        <f t="shared" si="13"/>
        <v>0</v>
      </c>
      <c r="FB66" s="151"/>
      <c r="FC66" s="85">
        <v>54407</v>
      </c>
      <c r="FH66" s="40">
        <f t="shared" si="14"/>
        <v>0</v>
      </c>
      <c r="FI66" s="151"/>
      <c r="FJ66" s="85">
        <v>54407</v>
      </c>
      <c r="FO66" s="40">
        <f t="shared" si="15"/>
        <v>0</v>
      </c>
      <c r="FP66" s="151"/>
      <c r="FQ66" s="85">
        <v>54407</v>
      </c>
      <c r="FV66" s="40">
        <f t="shared" si="16"/>
        <v>0</v>
      </c>
      <c r="FW66" s="151"/>
      <c r="FX66" s="85">
        <v>54407</v>
      </c>
      <c r="FY66" s="151"/>
      <c r="FZ66" s="151"/>
      <c r="GA66" s="151"/>
      <c r="GB66" s="151"/>
      <c r="GC66" s="40">
        <f t="shared" si="17"/>
        <v>0</v>
      </c>
    </row>
    <row r="67" spans="2:185" x14ac:dyDescent="0.25">
      <c r="B67" s="85">
        <v>54604</v>
      </c>
      <c r="C67" s="85"/>
      <c r="D67" s="85">
        <v>54589</v>
      </c>
      <c r="E67" s="40">
        <f t="shared" si="18"/>
        <v>0</v>
      </c>
      <c r="F67" s="40">
        <f t="shared" si="19"/>
        <v>3760000</v>
      </c>
      <c r="G67" s="40">
        <f t="shared" si="20"/>
        <v>0</v>
      </c>
      <c r="H67" s="40">
        <v>0</v>
      </c>
      <c r="I67" s="40">
        <f t="shared" si="21"/>
        <v>3760000</v>
      </c>
      <c r="J67" s="40">
        <f>SUM(I66:I67)</f>
        <v>7520000</v>
      </c>
      <c r="L67" s="85">
        <v>54589</v>
      </c>
      <c r="M67" s="40"/>
      <c r="N67" s="101"/>
      <c r="O67" s="40">
        <f t="shared" si="37"/>
        <v>0</v>
      </c>
      <c r="P67" s="40"/>
      <c r="Q67" s="40"/>
      <c r="R67" s="40">
        <f t="shared" si="22"/>
        <v>0</v>
      </c>
      <c r="T67" s="85">
        <v>54589</v>
      </c>
      <c r="U67" s="40"/>
      <c r="V67" s="101"/>
      <c r="W67" s="40">
        <f t="shared" si="23"/>
        <v>0</v>
      </c>
      <c r="X67" s="40"/>
      <c r="Y67" s="40"/>
      <c r="Z67" s="40">
        <f t="shared" si="24"/>
        <v>0</v>
      </c>
      <c r="AB67" s="85">
        <v>54589</v>
      </c>
      <c r="AC67" s="40"/>
      <c r="AD67" s="101"/>
      <c r="AE67" s="40">
        <f t="shared" si="25"/>
        <v>0</v>
      </c>
      <c r="AF67" s="40"/>
      <c r="AG67" s="40"/>
      <c r="AH67" s="40">
        <f t="shared" si="26"/>
        <v>0</v>
      </c>
      <c r="AJ67" s="85">
        <v>54589</v>
      </c>
      <c r="AK67" s="40"/>
      <c r="AL67" s="101"/>
      <c r="AM67" s="40">
        <f t="shared" si="27"/>
        <v>0</v>
      </c>
      <c r="AN67" s="40"/>
      <c r="AO67" s="40"/>
      <c r="AP67" s="40">
        <f t="shared" si="28"/>
        <v>0</v>
      </c>
      <c r="AR67" s="85">
        <v>54589</v>
      </c>
      <c r="AS67" s="40"/>
      <c r="AT67" s="101"/>
      <c r="AU67" s="40"/>
      <c r="AV67" s="101"/>
      <c r="AW67" s="40">
        <f t="shared" si="1"/>
        <v>0</v>
      </c>
      <c r="AX67" s="40"/>
      <c r="AY67" s="40"/>
      <c r="AZ67" s="40">
        <f t="shared" si="2"/>
        <v>0</v>
      </c>
      <c r="BB67" s="85">
        <v>54589</v>
      </c>
      <c r="BC67" s="40"/>
      <c r="BD67" s="40"/>
      <c r="BE67" s="40"/>
      <c r="BF67" s="40"/>
      <c r="BG67" s="40">
        <f t="shared" si="4"/>
        <v>0</v>
      </c>
      <c r="BI67" s="85">
        <v>54589</v>
      </c>
      <c r="BJ67" s="40"/>
      <c r="BK67" s="40"/>
      <c r="BL67" s="40"/>
      <c r="BM67" s="40"/>
      <c r="BN67" s="40">
        <v>0</v>
      </c>
      <c r="BP67" s="85">
        <v>54589</v>
      </c>
      <c r="BQ67" s="40"/>
      <c r="BR67" s="40"/>
      <c r="BS67" s="40"/>
      <c r="BT67" s="40"/>
      <c r="BU67" s="40">
        <v>0</v>
      </c>
      <c r="BW67" s="85">
        <v>54589</v>
      </c>
      <c r="BX67" s="40"/>
      <c r="BY67" s="40"/>
      <c r="BZ67" s="40"/>
      <c r="CA67" s="40"/>
      <c r="CB67" s="40">
        <v>0</v>
      </c>
      <c r="CD67" s="85">
        <v>54589</v>
      </c>
      <c r="CE67" s="40"/>
      <c r="CF67" s="40"/>
      <c r="CG67" s="40"/>
      <c r="CH67" s="40">
        <v>0</v>
      </c>
      <c r="CJ67" s="85">
        <v>54589</v>
      </c>
      <c r="CK67" s="40"/>
      <c r="CL67" s="87">
        <v>0</v>
      </c>
      <c r="CM67" s="40"/>
      <c r="CN67" s="40">
        <v>0</v>
      </c>
      <c r="CP67" s="85">
        <v>54589</v>
      </c>
      <c r="CQ67" s="40"/>
      <c r="CR67" s="87"/>
      <c r="CS67" s="40">
        <f t="shared" si="30"/>
        <v>3760000</v>
      </c>
      <c r="CT67" s="40"/>
      <c r="CU67" s="40">
        <f t="shared" si="5"/>
        <v>3760000</v>
      </c>
      <c r="CV67" s="151"/>
      <c r="CW67" s="85">
        <v>54589</v>
      </c>
      <c r="CX67" s="151"/>
      <c r="CY67" s="40"/>
      <c r="CZ67" s="154"/>
      <c r="DA67" s="151"/>
      <c r="DB67" s="40">
        <v>0</v>
      </c>
      <c r="DC67" s="151"/>
      <c r="DD67" s="85">
        <v>54589</v>
      </c>
      <c r="DE67" s="40"/>
      <c r="DF67" s="87"/>
      <c r="DG67" s="40"/>
      <c r="DH67" s="87"/>
      <c r="DI67" s="40"/>
      <c r="DJ67" s="87"/>
      <c r="DK67" s="40"/>
      <c r="DL67" s="87"/>
      <c r="DM67" s="40">
        <f t="shared" si="39"/>
        <v>0</v>
      </c>
      <c r="DN67" s="40"/>
      <c r="DO67" s="40">
        <f t="shared" si="7"/>
        <v>0</v>
      </c>
      <c r="DP67" s="151"/>
      <c r="DQ67" s="85">
        <v>54589</v>
      </c>
      <c r="DR67" s="40"/>
      <c r="DS67" s="87"/>
      <c r="DT67" s="40">
        <f t="shared" si="8"/>
        <v>0</v>
      </c>
      <c r="DU67" s="40">
        <f t="shared" si="9"/>
        <v>0</v>
      </c>
      <c r="DV67" s="151"/>
      <c r="DW67" s="85">
        <v>54589</v>
      </c>
      <c r="DX67" s="151"/>
      <c r="DY67" s="151"/>
      <c r="DZ67" s="151"/>
      <c r="EA67" s="151"/>
      <c r="EB67" s="40">
        <f t="shared" si="10"/>
        <v>0</v>
      </c>
      <c r="EC67" s="73"/>
      <c r="ED67" s="85">
        <v>54589</v>
      </c>
      <c r="EE67" s="151"/>
      <c r="EF67" s="151"/>
      <c r="EG67" s="151"/>
      <c r="EH67" s="151"/>
      <c r="EI67" s="40">
        <f t="shared" si="11"/>
        <v>0</v>
      </c>
      <c r="EJ67" s="85"/>
      <c r="EK67" s="85">
        <v>54589</v>
      </c>
      <c r="EL67" s="151"/>
      <c r="EM67" s="151"/>
      <c r="EN67" s="151"/>
      <c r="EO67" s="151"/>
      <c r="EP67" s="151"/>
      <c r="EQ67" s="85">
        <v>54589</v>
      </c>
      <c r="ER67" s="151"/>
      <c r="ES67" s="155"/>
      <c r="ET67" s="40">
        <f t="shared" si="33"/>
        <v>0</v>
      </c>
      <c r="EU67" s="40">
        <f t="shared" si="12"/>
        <v>0</v>
      </c>
      <c r="EV67" s="151"/>
      <c r="EW67" s="85">
        <v>54589</v>
      </c>
      <c r="EX67" s="151"/>
      <c r="EY67" s="155"/>
      <c r="EZ67" s="40">
        <f t="shared" si="34"/>
        <v>0</v>
      </c>
      <c r="FA67" s="40">
        <f t="shared" si="13"/>
        <v>0</v>
      </c>
      <c r="FB67" s="151"/>
      <c r="FC67" s="85">
        <v>54589</v>
      </c>
      <c r="FD67" s="151"/>
      <c r="FE67" s="151"/>
      <c r="FF67" s="151"/>
      <c r="FG67" s="151"/>
      <c r="FH67" s="40">
        <f t="shared" si="14"/>
        <v>0</v>
      </c>
      <c r="FI67" s="151"/>
      <c r="FJ67" s="85">
        <v>54589</v>
      </c>
      <c r="FK67" s="151"/>
      <c r="FL67" s="151"/>
      <c r="FM67" s="151"/>
      <c r="FN67" s="151"/>
      <c r="FO67" s="40">
        <f t="shared" si="15"/>
        <v>0</v>
      </c>
      <c r="FP67" s="151"/>
      <c r="FQ67" s="85">
        <v>54589</v>
      </c>
      <c r="FR67" s="151"/>
      <c r="FS67" s="151"/>
      <c r="FT67" s="151"/>
      <c r="FU67" s="151"/>
      <c r="FV67" s="40">
        <f t="shared" si="16"/>
        <v>0</v>
      </c>
      <c r="FW67" s="151"/>
      <c r="FX67" s="85">
        <v>54589</v>
      </c>
      <c r="FY67" s="151"/>
      <c r="FZ67" s="151"/>
      <c r="GA67" s="151"/>
      <c r="GB67" s="151"/>
      <c r="GC67" s="40">
        <f t="shared" si="17"/>
        <v>0</v>
      </c>
    </row>
    <row r="68" spans="2:185" x14ac:dyDescent="0.25">
      <c r="B68" s="85">
        <v>54788</v>
      </c>
      <c r="C68" s="85"/>
      <c r="D68" s="85">
        <v>54772</v>
      </c>
      <c r="E68" s="40">
        <f t="shared" si="18"/>
        <v>0</v>
      </c>
      <c r="F68" s="40">
        <f t="shared" si="19"/>
        <v>3760000</v>
      </c>
      <c r="G68" s="40">
        <f t="shared" si="20"/>
        <v>0</v>
      </c>
      <c r="H68" s="40">
        <v>0</v>
      </c>
      <c r="I68" s="40">
        <f t="shared" si="21"/>
        <v>3760000</v>
      </c>
      <c r="J68" s="40"/>
      <c r="L68" s="85">
        <v>54772</v>
      </c>
      <c r="M68" s="40"/>
      <c r="N68" s="101"/>
      <c r="O68" s="40">
        <f t="shared" si="37"/>
        <v>0</v>
      </c>
      <c r="P68" s="40"/>
      <c r="Q68" s="40"/>
      <c r="R68" s="40">
        <f t="shared" si="22"/>
        <v>0</v>
      </c>
      <c r="T68" s="85">
        <v>54772</v>
      </c>
      <c r="U68" s="40"/>
      <c r="V68" s="101"/>
      <c r="W68" s="40">
        <f t="shared" si="23"/>
        <v>0</v>
      </c>
      <c r="X68" s="40"/>
      <c r="Y68" s="40"/>
      <c r="Z68" s="40">
        <f t="shared" si="24"/>
        <v>0</v>
      </c>
      <c r="AB68" s="85">
        <v>54772</v>
      </c>
      <c r="AC68" s="40"/>
      <c r="AD68" s="101"/>
      <c r="AE68" s="40">
        <f t="shared" si="25"/>
        <v>0</v>
      </c>
      <c r="AF68" s="40"/>
      <c r="AG68" s="40"/>
      <c r="AH68" s="40">
        <f t="shared" si="26"/>
        <v>0</v>
      </c>
      <c r="AJ68" s="85">
        <v>54772</v>
      </c>
      <c r="AK68" s="40"/>
      <c r="AL68" s="101"/>
      <c r="AM68" s="40">
        <f t="shared" si="27"/>
        <v>0</v>
      </c>
      <c r="AN68" s="40"/>
      <c r="AO68" s="40"/>
      <c r="AP68" s="40">
        <f t="shared" si="28"/>
        <v>0</v>
      </c>
      <c r="AR68" s="85">
        <v>54772</v>
      </c>
      <c r="AS68" s="40"/>
      <c r="AT68" s="101"/>
      <c r="AU68" s="40"/>
      <c r="AV68" s="101"/>
      <c r="AW68" s="40">
        <f t="shared" si="1"/>
        <v>0</v>
      </c>
      <c r="AX68" s="40"/>
      <c r="AY68" s="40"/>
      <c r="AZ68" s="40">
        <f t="shared" si="2"/>
        <v>0</v>
      </c>
      <c r="BB68" s="85">
        <v>54772</v>
      </c>
      <c r="BC68" s="40"/>
      <c r="BD68" s="40"/>
      <c r="BE68" s="40"/>
      <c r="BF68" s="40"/>
      <c r="BG68" s="40">
        <f t="shared" si="4"/>
        <v>0</v>
      </c>
      <c r="BI68" s="85">
        <v>54772</v>
      </c>
      <c r="BJ68" s="40"/>
      <c r="BK68" s="40"/>
      <c r="BL68" s="40"/>
      <c r="BM68" s="40"/>
      <c r="BN68" s="40">
        <v>0</v>
      </c>
      <c r="BP68" s="85">
        <v>54772</v>
      </c>
      <c r="BQ68" s="40"/>
      <c r="BR68" s="40"/>
      <c r="BS68" s="40"/>
      <c r="BT68" s="40"/>
      <c r="BU68" s="40">
        <v>0</v>
      </c>
      <c r="BW68" s="85">
        <v>54772</v>
      </c>
      <c r="BX68" s="40"/>
      <c r="BY68" s="40"/>
      <c r="BZ68" s="40"/>
      <c r="CA68" s="40"/>
      <c r="CB68" s="40">
        <v>0</v>
      </c>
      <c r="CD68" s="85">
        <v>54772</v>
      </c>
      <c r="CE68" s="40"/>
      <c r="CF68" s="40"/>
      <c r="CG68" s="40"/>
      <c r="CH68" s="40">
        <v>0</v>
      </c>
      <c r="CJ68" s="85">
        <v>54772</v>
      </c>
      <c r="CK68" s="40"/>
      <c r="CL68" s="87">
        <v>0</v>
      </c>
      <c r="CM68" s="40"/>
      <c r="CN68" s="40">
        <v>0</v>
      </c>
      <c r="CP68" s="85">
        <v>54772</v>
      </c>
      <c r="CQ68" s="40"/>
      <c r="CR68" s="87"/>
      <c r="CS68" s="40">
        <f t="shared" si="30"/>
        <v>3760000</v>
      </c>
      <c r="CT68" s="40"/>
      <c r="CU68" s="40">
        <f t="shared" ref="CU68:CU89" si="40">SUM(CQ68,CS68,CT68)</f>
        <v>3760000</v>
      </c>
      <c r="CW68" s="85">
        <v>54772</v>
      </c>
      <c r="CY68" s="40"/>
      <c r="CZ68" s="87"/>
      <c r="DB68" s="40">
        <v>0</v>
      </c>
      <c r="DD68" s="85">
        <v>54772</v>
      </c>
      <c r="DE68" s="40"/>
      <c r="DF68" s="87"/>
      <c r="DG68" s="40"/>
      <c r="DH68" s="87"/>
      <c r="DI68" s="40"/>
      <c r="DJ68" s="87"/>
      <c r="DK68" s="40"/>
      <c r="DL68" s="87"/>
      <c r="DM68" s="40">
        <f t="shared" si="39"/>
        <v>0</v>
      </c>
      <c r="DN68" s="40"/>
      <c r="DO68" s="40">
        <f t="shared" si="7"/>
        <v>0</v>
      </c>
      <c r="DQ68" s="85">
        <v>54772</v>
      </c>
      <c r="DR68" s="40"/>
      <c r="DS68" s="87"/>
      <c r="DT68" s="40">
        <f>DR68*DS68/2+DT69</f>
        <v>0</v>
      </c>
      <c r="DU68" s="40">
        <f t="shared" si="9"/>
        <v>0</v>
      </c>
      <c r="DW68" s="85">
        <v>54772</v>
      </c>
      <c r="EB68" s="40">
        <f t="shared" si="10"/>
        <v>0</v>
      </c>
      <c r="ED68" s="85">
        <v>54772</v>
      </c>
      <c r="EI68" s="40">
        <f t="shared" ref="EI68:EI89" si="41">SUM(EE68,EG68,EH68)</f>
        <v>0</v>
      </c>
      <c r="EJ68" s="85"/>
      <c r="EK68" s="85">
        <v>54772</v>
      </c>
      <c r="EL68" s="151"/>
      <c r="EM68" s="151"/>
      <c r="EN68" s="151"/>
      <c r="EO68" s="151"/>
      <c r="EQ68" s="85">
        <v>54772</v>
      </c>
      <c r="ER68" s="151"/>
      <c r="ES68" s="155"/>
      <c r="ET68" s="40">
        <f t="shared" si="33"/>
        <v>0</v>
      </c>
      <c r="EU68" s="40">
        <f t="shared" si="12"/>
        <v>0</v>
      </c>
      <c r="EW68" s="85">
        <v>54772</v>
      </c>
      <c r="EX68" s="151"/>
      <c r="EY68" s="155"/>
      <c r="EZ68" s="40">
        <f t="shared" si="34"/>
        <v>0</v>
      </c>
      <c r="FA68" s="40">
        <f t="shared" si="13"/>
        <v>0</v>
      </c>
      <c r="FC68" s="85">
        <v>54772</v>
      </c>
      <c r="FD68" s="151"/>
      <c r="FE68" s="151"/>
      <c r="FF68" s="151"/>
      <c r="FG68" s="151"/>
      <c r="FH68" s="40">
        <f t="shared" si="14"/>
        <v>0</v>
      </c>
      <c r="FJ68" s="85">
        <v>54772</v>
      </c>
      <c r="FK68" s="151"/>
      <c r="FL68" s="151"/>
      <c r="FM68" s="151"/>
      <c r="FN68" s="151"/>
      <c r="FO68" s="40">
        <f t="shared" si="15"/>
        <v>0</v>
      </c>
      <c r="FQ68" s="85">
        <v>54772</v>
      </c>
      <c r="FR68" s="151"/>
      <c r="FS68" s="151"/>
      <c r="FT68" s="151"/>
      <c r="FU68" s="151"/>
      <c r="FV68" s="40">
        <f t="shared" si="16"/>
        <v>0</v>
      </c>
      <c r="FX68" s="85">
        <v>54772</v>
      </c>
      <c r="FY68" s="151"/>
      <c r="FZ68" s="151"/>
      <c r="GA68" s="151"/>
      <c r="GB68" s="151"/>
      <c r="GC68" s="40">
        <f t="shared" si="17"/>
        <v>0</v>
      </c>
    </row>
    <row r="69" spans="2:185" x14ac:dyDescent="0.25">
      <c r="B69" s="85">
        <v>54969</v>
      </c>
      <c r="C69" s="85"/>
      <c r="D69" s="85">
        <v>54954</v>
      </c>
      <c r="E69" s="40">
        <f t="shared" si="18"/>
        <v>0</v>
      </c>
      <c r="F69" s="40">
        <f t="shared" si="19"/>
        <v>3760000</v>
      </c>
      <c r="G69" s="40">
        <f t="shared" si="20"/>
        <v>0</v>
      </c>
      <c r="H69" s="40">
        <v>0</v>
      </c>
      <c r="I69" s="40">
        <f t="shared" si="21"/>
        <v>3760000</v>
      </c>
      <c r="J69" s="40">
        <f>SUM(I68:I69)</f>
        <v>7520000</v>
      </c>
      <c r="L69" s="85">
        <v>54954</v>
      </c>
      <c r="M69" s="40"/>
      <c r="N69" s="101"/>
      <c r="O69" s="40">
        <f t="shared" si="37"/>
        <v>0</v>
      </c>
      <c r="P69" s="40"/>
      <c r="Q69" s="40"/>
      <c r="R69" s="40">
        <f t="shared" si="22"/>
        <v>0</v>
      </c>
      <c r="T69" s="85">
        <v>54954</v>
      </c>
      <c r="U69" s="40"/>
      <c r="V69" s="101"/>
      <c r="W69" s="40">
        <f t="shared" si="23"/>
        <v>0</v>
      </c>
      <c r="X69" s="40"/>
      <c r="Y69" s="40"/>
      <c r="Z69" s="40">
        <f t="shared" si="24"/>
        <v>0</v>
      </c>
      <c r="AB69" s="85">
        <v>54954</v>
      </c>
      <c r="AC69" s="40"/>
      <c r="AD69" s="101"/>
      <c r="AE69" s="40">
        <f t="shared" si="25"/>
        <v>0</v>
      </c>
      <c r="AF69" s="40"/>
      <c r="AG69" s="40"/>
      <c r="AH69" s="40">
        <f t="shared" si="26"/>
        <v>0</v>
      </c>
      <c r="AJ69" s="85">
        <v>54954</v>
      </c>
      <c r="AK69" s="40"/>
      <c r="AL69" s="101"/>
      <c r="AM69" s="40">
        <f t="shared" si="27"/>
        <v>0</v>
      </c>
      <c r="AN69" s="40"/>
      <c r="AO69" s="40"/>
      <c r="AP69" s="40">
        <f t="shared" si="28"/>
        <v>0</v>
      </c>
      <c r="AR69" s="85">
        <v>54954</v>
      </c>
      <c r="AS69" s="40"/>
      <c r="AT69" s="101"/>
      <c r="AU69" s="40"/>
      <c r="AV69" s="101"/>
      <c r="AW69" s="40">
        <f>(AS69*AT69/2)+(AU69*AV69/2)+AW70</f>
        <v>0</v>
      </c>
      <c r="AX69" s="40"/>
      <c r="AY69" s="40"/>
      <c r="AZ69" s="40">
        <f t="shared" si="2"/>
        <v>0</v>
      </c>
      <c r="BB69" s="85">
        <v>54954</v>
      </c>
      <c r="BC69" s="40"/>
      <c r="BD69" s="40"/>
      <c r="BE69" s="40"/>
      <c r="BF69" s="40"/>
      <c r="BG69" s="40">
        <f t="shared" si="4"/>
        <v>0</v>
      </c>
      <c r="BI69" s="85">
        <v>54954</v>
      </c>
      <c r="BJ69" s="40"/>
      <c r="BK69" s="40"/>
      <c r="BL69" s="40"/>
      <c r="BM69" s="40"/>
      <c r="BN69" s="40">
        <v>0</v>
      </c>
      <c r="BP69" s="85">
        <v>54954</v>
      </c>
      <c r="BQ69" s="40"/>
      <c r="BR69" s="40"/>
      <c r="BS69" s="40"/>
      <c r="BT69" s="40"/>
      <c r="BU69" s="40">
        <v>0</v>
      </c>
      <c r="BW69" s="85">
        <v>54954</v>
      </c>
      <c r="BX69" s="40"/>
      <c r="BY69" s="40"/>
      <c r="BZ69" s="40"/>
      <c r="CA69" s="40"/>
      <c r="CB69" s="40">
        <v>0</v>
      </c>
      <c r="CD69" s="85">
        <v>54954</v>
      </c>
      <c r="CE69" s="40"/>
      <c r="CF69" s="40"/>
      <c r="CG69" s="40"/>
      <c r="CH69" s="40">
        <v>0</v>
      </c>
      <c r="CJ69" s="85">
        <v>54954</v>
      </c>
      <c r="CK69" s="40"/>
      <c r="CL69" s="87">
        <v>0</v>
      </c>
      <c r="CM69" s="40"/>
      <c r="CN69" s="40">
        <v>0</v>
      </c>
      <c r="CP69" s="85">
        <v>54954</v>
      </c>
      <c r="CQ69" s="40"/>
      <c r="CR69" s="87"/>
      <c r="CS69" s="40">
        <f t="shared" si="30"/>
        <v>3760000</v>
      </c>
      <c r="CT69" s="40"/>
      <c r="CU69" s="40">
        <f t="shared" si="40"/>
        <v>3760000</v>
      </c>
      <c r="CW69" s="85">
        <v>54954</v>
      </c>
      <c r="CY69" s="40"/>
      <c r="CZ69" s="87"/>
      <c r="DB69" s="40">
        <v>0</v>
      </c>
      <c r="DD69" s="85">
        <v>54954</v>
      </c>
      <c r="DE69" s="40"/>
      <c r="DF69" s="87"/>
      <c r="DG69" s="40"/>
      <c r="DH69" s="87"/>
      <c r="DI69" s="40"/>
      <c r="DJ69" s="87"/>
      <c r="DK69" s="40"/>
      <c r="DL69" s="87"/>
      <c r="DM69" s="40">
        <f t="shared" si="39"/>
        <v>0</v>
      </c>
      <c r="DN69" s="40"/>
      <c r="DO69" s="40">
        <f t="shared" si="7"/>
        <v>0</v>
      </c>
      <c r="DQ69" s="85">
        <v>54954</v>
      </c>
      <c r="DR69" s="40"/>
      <c r="DS69" s="87"/>
      <c r="DT69" s="40">
        <f>DR69*DS69/2+DT70</f>
        <v>0</v>
      </c>
      <c r="DU69" s="40">
        <f t="shared" ref="DU69:DU89" si="42">SUM(DR69,DT69)</f>
        <v>0</v>
      </c>
      <c r="DW69" s="85">
        <v>54954</v>
      </c>
      <c r="EB69" s="40">
        <f t="shared" ref="EB69:EB89" si="43">SUM(DZ69:EA69,DX69)</f>
        <v>0</v>
      </c>
      <c r="ED69" s="85">
        <v>54954</v>
      </c>
      <c r="EI69" s="40">
        <f t="shared" si="41"/>
        <v>0</v>
      </c>
      <c r="EJ69" s="85"/>
      <c r="EK69" s="85">
        <v>54954</v>
      </c>
      <c r="EQ69" s="85">
        <v>54954</v>
      </c>
      <c r="ES69" s="101"/>
      <c r="ET69" s="40">
        <f t="shared" si="33"/>
        <v>0</v>
      </c>
      <c r="EU69" s="40">
        <f t="shared" si="12"/>
        <v>0</v>
      </c>
      <c r="EW69" s="85">
        <v>54954</v>
      </c>
      <c r="EY69" s="101"/>
      <c r="EZ69" s="40">
        <f t="shared" si="34"/>
        <v>0</v>
      </c>
      <c r="FA69" s="40">
        <f t="shared" si="13"/>
        <v>0</v>
      </c>
      <c r="FC69" s="85">
        <v>54954</v>
      </c>
      <c r="FH69" s="40">
        <f t="shared" ref="FH69:FH89" si="44">SUM(FD69,FF69,FG69)</f>
        <v>0</v>
      </c>
      <c r="FJ69" s="85">
        <v>54954</v>
      </c>
      <c r="FO69" s="40">
        <f t="shared" ref="FO69:FO89" si="45">SUM(FK69,FM69,FN69)</f>
        <v>0</v>
      </c>
      <c r="FQ69" s="85">
        <v>54954</v>
      </c>
      <c r="FR69" s="151"/>
      <c r="FS69" s="151"/>
      <c r="FT69" s="151"/>
      <c r="FU69" s="151"/>
      <c r="FV69" s="40">
        <f t="shared" ref="FV69:FV89" si="46">SUM(FR69,FT69,FU69)</f>
        <v>0</v>
      </c>
      <c r="FX69" s="85">
        <v>54954</v>
      </c>
      <c r="FY69" s="151"/>
      <c r="FZ69" s="151"/>
      <c r="GA69" s="151"/>
      <c r="GB69" s="151"/>
      <c r="GC69" s="40">
        <f t="shared" ref="GC69:GC89" si="47">SUM(FY69,GA69,GB69)</f>
        <v>0</v>
      </c>
    </row>
    <row r="70" spans="2:185" x14ac:dyDescent="0.25">
      <c r="B70" s="85">
        <v>55153</v>
      </c>
      <c r="C70" s="85"/>
      <c r="D70" s="85">
        <v>55137</v>
      </c>
      <c r="E70" s="40">
        <f t="shared" si="18"/>
        <v>0</v>
      </c>
      <c r="F70" s="40">
        <f t="shared" si="19"/>
        <v>3760000</v>
      </c>
      <c r="G70" s="40">
        <f t="shared" si="20"/>
        <v>0</v>
      </c>
      <c r="H70" s="40">
        <v>0</v>
      </c>
      <c r="I70" s="40">
        <f t="shared" si="21"/>
        <v>3760000</v>
      </c>
      <c r="J70" s="40"/>
      <c r="L70" s="85">
        <v>55137</v>
      </c>
      <c r="M70" s="40"/>
      <c r="N70" s="101"/>
      <c r="O70" s="40">
        <f t="shared" si="37"/>
        <v>0</v>
      </c>
      <c r="P70" s="40"/>
      <c r="Q70" s="40"/>
      <c r="R70" s="40">
        <f t="shared" si="22"/>
        <v>0</v>
      </c>
      <c r="T70" s="85">
        <v>55137</v>
      </c>
      <c r="U70" s="40"/>
      <c r="V70" s="101"/>
      <c r="W70" s="40">
        <f t="shared" si="23"/>
        <v>0</v>
      </c>
      <c r="X70" s="40"/>
      <c r="Y70" s="40"/>
      <c r="Z70" s="40">
        <f t="shared" si="24"/>
        <v>0</v>
      </c>
      <c r="AB70" s="85">
        <v>55137</v>
      </c>
      <c r="AC70" s="40"/>
      <c r="AD70" s="101"/>
      <c r="AE70" s="40">
        <f t="shared" si="25"/>
        <v>0</v>
      </c>
      <c r="AF70" s="40"/>
      <c r="AG70" s="40"/>
      <c r="AH70" s="40">
        <f t="shared" si="26"/>
        <v>0</v>
      </c>
      <c r="AJ70" s="85">
        <v>55137</v>
      </c>
      <c r="AK70" s="40"/>
      <c r="AL70" s="101"/>
      <c r="AM70" s="40">
        <f t="shared" si="27"/>
        <v>0</v>
      </c>
      <c r="AN70" s="40"/>
      <c r="AO70" s="40"/>
      <c r="AP70" s="40">
        <f t="shared" si="28"/>
        <v>0</v>
      </c>
      <c r="AR70" s="85">
        <v>55137</v>
      </c>
      <c r="AS70" s="40"/>
      <c r="AT70" s="101"/>
      <c r="AU70" s="40"/>
      <c r="AV70" s="101"/>
      <c r="AW70" s="40">
        <f t="shared" ref="AW70:AW89" si="48">(AS70*AT70/2)+(AU70*AV70/2)+AW71</f>
        <v>0</v>
      </c>
      <c r="AX70" s="40"/>
      <c r="AY70" s="40"/>
      <c r="AZ70" s="40">
        <f t="shared" si="2"/>
        <v>0</v>
      </c>
      <c r="BB70" s="85">
        <v>55137</v>
      </c>
      <c r="BC70" s="40"/>
      <c r="BD70" s="40"/>
      <c r="BE70" s="40"/>
      <c r="BF70" s="40"/>
      <c r="BG70" s="40">
        <f t="shared" si="4"/>
        <v>0</v>
      </c>
      <c r="BI70" s="85">
        <v>55137</v>
      </c>
      <c r="BJ70" s="40"/>
      <c r="BK70" s="40"/>
      <c r="BL70" s="40"/>
      <c r="BM70" s="40"/>
      <c r="BN70" s="40">
        <v>0</v>
      </c>
      <c r="BP70" s="85">
        <v>55137</v>
      </c>
      <c r="BQ70" s="40"/>
      <c r="BR70" s="40"/>
      <c r="BS70" s="40"/>
      <c r="BT70" s="40"/>
      <c r="BU70" s="40">
        <v>0</v>
      </c>
      <c r="BW70" s="85">
        <v>55137</v>
      </c>
      <c r="BX70" s="40"/>
      <c r="BY70" s="40"/>
      <c r="BZ70" s="40"/>
      <c r="CA70" s="40"/>
      <c r="CB70" s="40">
        <v>0</v>
      </c>
      <c r="CD70" s="85">
        <v>55137</v>
      </c>
      <c r="CE70" s="40"/>
      <c r="CF70" s="40"/>
      <c r="CG70" s="40"/>
      <c r="CH70" s="40">
        <v>0</v>
      </c>
      <c r="CJ70" s="85">
        <v>55137</v>
      </c>
      <c r="CK70" s="40"/>
      <c r="CL70" s="87">
        <v>0</v>
      </c>
      <c r="CM70" s="40"/>
      <c r="CN70" s="40">
        <v>0</v>
      </c>
      <c r="CP70" s="85">
        <v>55137</v>
      </c>
      <c r="CQ70" s="40"/>
      <c r="CR70" s="87"/>
      <c r="CS70" s="40">
        <f t="shared" si="30"/>
        <v>3760000</v>
      </c>
      <c r="CT70" s="40"/>
      <c r="CU70" s="40">
        <f t="shared" si="40"/>
        <v>3760000</v>
      </c>
      <c r="CW70" s="85">
        <v>55137</v>
      </c>
      <c r="CY70" s="40"/>
      <c r="DB70" s="40">
        <v>0</v>
      </c>
      <c r="DD70" s="85">
        <v>55137</v>
      </c>
      <c r="DE70" s="40"/>
      <c r="DF70" s="40"/>
      <c r="DG70" s="40"/>
      <c r="DH70" s="40"/>
      <c r="DI70" s="40"/>
      <c r="DJ70" s="40"/>
      <c r="DK70" s="40"/>
      <c r="DL70" s="40"/>
      <c r="DO70" s="40">
        <f t="shared" si="7"/>
        <v>0</v>
      </c>
      <c r="DQ70" s="85">
        <v>55137</v>
      </c>
      <c r="DU70" s="40">
        <f t="shared" si="42"/>
        <v>0</v>
      </c>
      <c r="DW70" s="85">
        <v>55137</v>
      </c>
      <c r="EB70" s="40">
        <f t="shared" si="43"/>
        <v>0</v>
      </c>
      <c r="ED70" s="85">
        <v>55137</v>
      </c>
      <c r="EI70" s="40">
        <f t="shared" si="41"/>
        <v>0</v>
      </c>
      <c r="EJ70" s="85"/>
      <c r="EK70" s="85">
        <v>55137</v>
      </c>
      <c r="EQ70" s="85">
        <v>55137</v>
      </c>
      <c r="ES70" s="101"/>
      <c r="ET70" s="40">
        <f t="shared" si="33"/>
        <v>0</v>
      </c>
      <c r="EU70" s="40">
        <f t="shared" si="12"/>
        <v>0</v>
      </c>
      <c r="EW70" s="85">
        <v>55137</v>
      </c>
      <c r="EY70" s="101"/>
      <c r="EZ70" s="40">
        <f t="shared" si="34"/>
        <v>0</v>
      </c>
      <c r="FA70" s="40">
        <f t="shared" si="13"/>
        <v>0</v>
      </c>
      <c r="FC70" s="85">
        <v>55137</v>
      </c>
      <c r="FH70" s="40">
        <f t="shared" si="44"/>
        <v>0</v>
      </c>
      <c r="FJ70" s="85">
        <v>55137</v>
      </c>
      <c r="FO70" s="40">
        <f t="shared" si="45"/>
        <v>0</v>
      </c>
      <c r="FQ70" s="85">
        <v>55137</v>
      </c>
      <c r="FV70" s="40">
        <f t="shared" si="46"/>
        <v>0</v>
      </c>
      <c r="FX70" s="85">
        <v>55137</v>
      </c>
      <c r="FY70" s="151"/>
      <c r="FZ70" s="151"/>
      <c r="GA70" s="151"/>
      <c r="GB70" s="151"/>
      <c r="GC70" s="40">
        <f t="shared" si="47"/>
        <v>0</v>
      </c>
    </row>
    <row r="71" spans="2:185" x14ac:dyDescent="0.25">
      <c r="B71" s="85">
        <v>55334</v>
      </c>
      <c r="C71" s="85"/>
      <c r="D71" s="85">
        <v>55319</v>
      </c>
      <c r="E71" s="40">
        <f t="shared" si="18"/>
        <v>0</v>
      </c>
      <c r="F71" s="40">
        <f t="shared" si="19"/>
        <v>3760000</v>
      </c>
      <c r="G71" s="40">
        <f t="shared" si="20"/>
        <v>0</v>
      </c>
      <c r="H71" s="40">
        <v>0</v>
      </c>
      <c r="I71" s="40">
        <f t="shared" si="21"/>
        <v>3760000</v>
      </c>
      <c r="J71" s="40">
        <f>SUM(I70:I71)</f>
        <v>7520000</v>
      </c>
      <c r="L71" s="85">
        <v>55319</v>
      </c>
      <c r="M71" s="40"/>
      <c r="N71" s="101"/>
      <c r="O71" s="40">
        <f t="shared" si="37"/>
        <v>0</v>
      </c>
      <c r="P71" s="40"/>
      <c r="Q71" s="40"/>
      <c r="R71" s="40">
        <f t="shared" si="22"/>
        <v>0</v>
      </c>
      <c r="T71" s="85">
        <v>55319</v>
      </c>
      <c r="U71" s="40"/>
      <c r="V71" s="101"/>
      <c r="W71" s="40">
        <f t="shared" si="23"/>
        <v>0</v>
      </c>
      <c r="X71" s="40"/>
      <c r="Y71" s="40"/>
      <c r="Z71" s="40">
        <f t="shared" si="24"/>
        <v>0</v>
      </c>
      <c r="AB71" s="85">
        <v>55319</v>
      </c>
      <c r="AC71" s="40"/>
      <c r="AD71" s="101"/>
      <c r="AE71" s="40">
        <f t="shared" si="25"/>
        <v>0</v>
      </c>
      <c r="AF71" s="40"/>
      <c r="AG71" s="40"/>
      <c r="AH71" s="40">
        <f t="shared" si="26"/>
        <v>0</v>
      </c>
      <c r="AJ71" s="85">
        <v>55319</v>
      </c>
      <c r="AK71" s="40"/>
      <c r="AL71" s="101"/>
      <c r="AM71" s="40">
        <f t="shared" si="27"/>
        <v>0</v>
      </c>
      <c r="AN71" s="40"/>
      <c r="AO71" s="40"/>
      <c r="AP71" s="40">
        <f t="shared" si="28"/>
        <v>0</v>
      </c>
      <c r="AR71" s="85">
        <v>55319</v>
      </c>
      <c r="AS71" s="40"/>
      <c r="AT71" s="101"/>
      <c r="AU71" s="40"/>
      <c r="AV71" s="101"/>
      <c r="AW71" s="40">
        <f t="shared" si="48"/>
        <v>0</v>
      </c>
      <c r="AX71" s="40"/>
      <c r="AY71" s="40"/>
      <c r="AZ71" s="40">
        <f t="shared" si="2"/>
        <v>0</v>
      </c>
      <c r="BB71" s="85">
        <v>55319</v>
      </c>
      <c r="BC71" s="40"/>
      <c r="BD71" s="40"/>
      <c r="BE71" s="40"/>
      <c r="BF71" s="40"/>
      <c r="BG71" s="40">
        <f t="shared" si="4"/>
        <v>0</v>
      </c>
      <c r="BI71" s="85">
        <v>55319</v>
      </c>
      <c r="BJ71" s="40"/>
      <c r="BK71" s="40"/>
      <c r="BL71" s="40"/>
      <c r="BM71" s="40"/>
      <c r="BN71" s="40">
        <v>0</v>
      </c>
      <c r="BP71" s="85">
        <v>55319</v>
      </c>
      <c r="BQ71" s="40"/>
      <c r="BR71" s="40"/>
      <c r="BS71" s="40"/>
      <c r="BT71" s="40"/>
      <c r="BU71" s="40">
        <v>0</v>
      </c>
      <c r="BW71" s="85">
        <v>55319</v>
      </c>
      <c r="BX71" s="40"/>
      <c r="BY71" s="40"/>
      <c r="BZ71" s="40"/>
      <c r="CA71" s="40"/>
      <c r="CB71" s="40">
        <v>0</v>
      </c>
      <c r="CD71" s="85">
        <v>55319</v>
      </c>
      <c r="CE71" s="40"/>
      <c r="CF71" s="40"/>
      <c r="CG71" s="40"/>
      <c r="CH71" s="40">
        <v>0</v>
      </c>
      <c r="CJ71" s="85">
        <v>55319</v>
      </c>
      <c r="CK71" s="40"/>
      <c r="CL71" s="87">
        <v>0</v>
      </c>
      <c r="CM71" s="40"/>
      <c r="CN71" s="40">
        <v>0</v>
      </c>
      <c r="CP71" s="85">
        <v>55319</v>
      </c>
      <c r="CQ71" s="40"/>
      <c r="CR71" s="87"/>
      <c r="CS71" s="40">
        <f t="shared" si="30"/>
        <v>3760000</v>
      </c>
      <c r="CT71" s="40"/>
      <c r="CU71" s="40">
        <f t="shared" si="40"/>
        <v>3760000</v>
      </c>
      <c r="CW71" s="85">
        <v>55319</v>
      </c>
      <c r="CY71" s="40"/>
      <c r="DB71" s="40">
        <v>0</v>
      </c>
      <c r="DD71" s="85">
        <v>55319</v>
      </c>
      <c r="DE71" s="40"/>
      <c r="DF71" s="40"/>
      <c r="DG71" s="40"/>
      <c r="DH71" s="40"/>
      <c r="DI71" s="40"/>
      <c r="DJ71" s="40"/>
      <c r="DK71" s="40"/>
      <c r="DL71" s="40"/>
      <c r="DO71" s="40">
        <f t="shared" si="7"/>
        <v>0</v>
      </c>
      <c r="DQ71" s="85">
        <v>55319</v>
      </c>
      <c r="DU71" s="40">
        <f t="shared" si="42"/>
        <v>0</v>
      </c>
      <c r="DW71" s="85">
        <v>55319</v>
      </c>
      <c r="EB71" s="40">
        <f t="shared" si="43"/>
        <v>0</v>
      </c>
      <c r="ED71" s="85">
        <v>55319</v>
      </c>
      <c r="EI71" s="40">
        <f t="shared" si="41"/>
        <v>0</v>
      </c>
      <c r="EJ71" s="85"/>
      <c r="EK71" s="85">
        <v>55319</v>
      </c>
      <c r="EQ71" s="85">
        <v>55319</v>
      </c>
      <c r="ES71" s="101"/>
      <c r="ET71" s="40">
        <f t="shared" si="33"/>
        <v>0</v>
      </c>
      <c r="EU71" s="40">
        <f t="shared" si="12"/>
        <v>0</v>
      </c>
      <c r="EW71" s="85">
        <v>55319</v>
      </c>
      <c r="EY71" s="101"/>
      <c r="EZ71" s="40">
        <f t="shared" si="34"/>
        <v>0</v>
      </c>
      <c r="FA71" s="40">
        <f t="shared" si="13"/>
        <v>0</v>
      </c>
      <c r="FC71" s="85">
        <v>55319</v>
      </c>
      <c r="FH71" s="40">
        <f t="shared" si="44"/>
        <v>0</v>
      </c>
      <c r="FJ71" s="85">
        <v>55319</v>
      </c>
      <c r="FO71" s="40">
        <f t="shared" si="45"/>
        <v>0</v>
      </c>
      <c r="FQ71" s="85">
        <v>55319</v>
      </c>
      <c r="FV71" s="40">
        <f t="shared" si="46"/>
        <v>0</v>
      </c>
      <c r="FX71" s="85">
        <v>55319</v>
      </c>
      <c r="GC71" s="40">
        <f t="shared" si="47"/>
        <v>0</v>
      </c>
    </row>
    <row r="72" spans="2:185" x14ac:dyDescent="0.25">
      <c r="B72" s="85">
        <v>55518</v>
      </c>
      <c r="C72" s="85"/>
      <c r="D72" s="85">
        <v>55502</v>
      </c>
      <c r="E72" s="40">
        <f t="shared" si="18"/>
        <v>25000000</v>
      </c>
      <c r="F72" s="40">
        <f t="shared" si="19"/>
        <v>3760000</v>
      </c>
      <c r="G72" s="40">
        <f t="shared" si="20"/>
        <v>0</v>
      </c>
      <c r="H72" s="40">
        <v>0</v>
      </c>
      <c r="I72" s="40">
        <f t="shared" si="21"/>
        <v>28760000</v>
      </c>
      <c r="J72" s="40"/>
      <c r="L72" s="85">
        <v>55502</v>
      </c>
      <c r="M72" s="40"/>
      <c r="N72" s="101"/>
      <c r="O72" s="40">
        <f t="shared" si="37"/>
        <v>0</v>
      </c>
      <c r="P72" s="40"/>
      <c r="Q72" s="40"/>
      <c r="R72" s="40">
        <f t="shared" si="22"/>
        <v>0</v>
      </c>
      <c r="T72" s="85">
        <v>55502</v>
      </c>
      <c r="U72" s="40"/>
      <c r="V72" s="101"/>
      <c r="W72" s="40">
        <f t="shared" si="23"/>
        <v>0</v>
      </c>
      <c r="X72" s="40"/>
      <c r="Y72" s="40"/>
      <c r="Z72" s="40">
        <f t="shared" si="24"/>
        <v>0</v>
      </c>
      <c r="AB72" s="85">
        <v>55502</v>
      </c>
      <c r="AC72" s="40"/>
      <c r="AD72" s="101"/>
      <c r="AE72" s="40">
        <f t="shared" si="25"/>
        <v>0</v>
      </c>
      <c r="AF72" s="40"/>
      <c r="AG72" s="40"/>
      <c r="AH72" s="40">
        <f t="shared" si="26"/>
        <v>0</v>
      </c>
      <c r="AJ72" s="85">
        <v>55502</v>
      </c>
      <c r="AK72" s="40"/>
      <c r="AL72" s="101"/>
      <c r="AM72" s="40">
        <f t="shared" si="27"/>
        <v>0</v>
      </c>
      <c r="AN72" s="40"/>
      <c r="AO72" s="40"/>
      <c r="AP72" s="40">
        <f t="shared" si="28"/>
        <v>0</v>
      </c>
      <c r="AR72" s="85">
        <v>55502</v>
      </c>
      <c r="AS72" s="40"/>
      <c r="AT72" s="101"/>
      <c r="AU72" s="40"/>
      <c r="AV72" s="101"/>
      <c r="AW72" s="40">
        <f t="shared" si="48"/>
        <v>0</v>
      </c>
      <c r="AX72" s="40"/>
      <c r="AY72" s="40"/>
      <c r="AZ72" s="40">
        <f t="shared" si="2"/>
        <v>0</v>
      </c>
      <c r="BB72" s="85">
        <v>55502</v>
      </c>
      <c r="BC72" s="40"/>
      <c r="BD72" s="40"/>
      <c r="BE72" s="40"/>
      <c r="BF72" s="40"/>
      <c r="BG72" s="40">
        <f t="shared" si="4"/>
        <v>0</v>
      </c>
      <c r="BI72" s="85">
        <v>55502</v>
      </c>
      <c r="BJ72" s="40"/>
      <c r="BK72" s="40"/>
      <c r="BL72" s="40"/>
      <c r="BM72" s="40"/>
      <c r="BN72" s="40">
        <v>0</v>
      </c>
      <c r="BP72" s="85">
        <v>55502</v>
      </c>
      <c r="BQ72" s="40"/>
      <c r="BR72" s="40"/>
      <c r="BS72" s="40"/>
      <c r="BT72" s="40"/>
      <c r="BU72" s="40">
        <v>0</v>
      </c>
      <c r="BW72" s="85">
        <v>55502</v>
      </c>
      <c r="BX72" s="40"/>
      <c r="BY72" s="40"/>
      <c r="BZ72" s="40"/>
      <c r="CA72" s="40"/>
      <c r="CB72" s="40">
        <v>0</v>
      </c>
      <c r="CD72" s="85">
        <v>55502</v>
      </c>
      <c r="CE72" s="40"/>
      <c r="CF72" s="40"/>
      <c r="CG72" s="40"/>
      <c r="CH72" s="40">
        <v>0</v>
      </c>
      <c r="CJ72" s="85">
        <v>55502</v>
      </c>
      <c r="CK72" s="40"/>
      <c r="CL72" s="87">
        <v>0</v>
      </c>
      <c r="CM72" s="40"/>
      <c r="CN72" s="40">
        <v>0</v>
      </c>
      <c r="CP72" s="85">
        <v>55502</v>
      </c>
      <c r="CQ72" s="40">
        <v>25000000</v>
      </c>
      <c r="CR72" s="87">
        <v>0.05</v>
      </c>
      <c r="CS72" s="40">
        <f>((CQ72*CR72)/2)+CS73</f>
        <v>3760000</v>
      </c>
      <c r="CT72" s="40"/>
      <c r="CU72" s="40">
        <f t="shared" si="40"/>
        <v>28760000</v>
      </c>
      <c r="CW72" s="85">
        <v>55502</v>
      </c>
      <c r="CY72" s="40"/>
      <c r="DB72" s="40">
        <v>0</v>
      </c>
      <c r="DD72" s="85">
        <v>55502</v>
      </c>
      <c r="DE72" s="40"/>
      <c r="DF72" s="40"/>
      <c r="DG72" s="40"/>
      <c r="DH72" s="40"/>
      <c r="DI72" s="40"/>
      <c r="DJ72" s="40"/>
      <c r="DK72" s="40"/>
      <c r="DL72" s="40"/>
      <c r="DO72" s="40">
        <f t="shared" si="7"/>
        <v>0</v>
      </c>
      <c r="DQ72" s="85">
        <v>55502</v>
      </c>
      <c r="DU72" s="40">
        <f t="shared" si="42"/>
        <v>0</v>
      </c>
      <c r="DW72" s="85">
        <v>55502</v>
      </c>
      <c r="EB72" s="40">
        <f t="shared" si="43"/>
        <v>0</v>
      </c>
      <c r="ED72" s="85">
        <v>55502</v>
      </c>
      <c r="EI72" s="40">
        <f t="shared" si="41"/>
        <v>0</v>
      </c>
      <c r="EJ72" s="85"/>
      <c r="EK72" s="85">
        <v>55502</v>
      </c>
      <c r="EQ72" s="85">
        <v>55502</v>
      </c>
      <c r="ES72" s="101"/>
      <c r="ET72" s="40">
        <f t="shared" si="33"/>
        <v>0</v>
      </c>
      <c r="EU72" s="40">
        <f t="shared" si="12"/>
        <v>0</v>
      </c>
      <c r="EW72" s="85">
        <v>55502</v>
      </c>
      <c r="EY72" s="101"/>
      <c r="EZ72" s="40">
        <f t="shared" ref="EZ72:EZ88" si="49">EX72*EY72/2+EZ73</f>
        <v>0</v>
      </c>
      <c r="FA72" s="40">
        <f t="shared" si="13"/>
        <v>0</v>
      </c>
      <c r="FC72" s="85">
        <v>55502</v>
      </c>
      <c r="FH72" s="40">
        <f t="shared" si="44"/>
        <v>0</v>
      </c>
      <c r="FJ72" s="85">
        <v>55502</v>
      </c>
      <c r="FO72" s="40">
        <f t="shared" si="45"/>
        <v>0</v>
      </c>
      <c r="FQ72" s="85">
        <v>55502</v>
      </c>
      <c r="FV72" s="40">
        <f t="shared" si="46"/>
        <v>0</v>
      </c>
      <c r="FX72" s="85">
        <v>55502</v>
      </c>
      <c r="GC72" s="40">
        <f t="shared" si="47"/>
        <v>0</v>
      </c>
    </row>
    <row r="73" spans="2:185" x14ac:dyDescent="0.25">
      <c r="B73" s="85">
        <v>55700</v>
      </c>
      <c r="C73" s="85"/>
      <c r="D73" s="85">
        <v>55685</v>
      </c>
      <c r="E73" s="40">
        <f t="shared" si="18"/>
        <v>125400000</v>
      </c>
      <c r="F73" s="40">
        <f t="shared" si="19"/>
        <v>3135000</v>
      </c>
      <c r="G73" s="40">
        <f t="shared" si="20"/>
        <v>0</v>
      </c>
      <c r="H73" s="40">
        <v>0</v>
      </c>
      <c r="I73" s="40">
        <f t="shared" si="21"/>
        <v>128535000</v>
      </c>
      <c r="J73" s="40">
        <f>SUM(I72:I73)</f>
        <v>157295000</v>
      </c>
      <c r="L73" s="85">
        <v>55685</v>
      </c>
      <c r="M73" s="40"/>
      <c r="N73" s="101"/>
      <c r="O73" s="40">
        <f t="shared" si="37"/>
        <v>0</v>
      </c>
      <c r="P73" s="40"/>
      <c r="Q73" s="40"/>
      <c r="R73" s="40">
        <f t="shared" si="22"/>
        <v>0</v>
      </c>
      <c r="T73" s="85">
        <v>55685</v>
      </c>
      <c r="U73" s="40"/>
      <c r="V73" s="101"/>
      <c r="W73" s="40">
        <f t="shared" si="23"/>
        <v>0</v>
      </c>
      <c r="X73" s="40"/>
      <c r="Y73" s="40"/>
      <c r="Z73" s="40">
        <f t="shared" si="24"/>
        <v>0</v>
      </c>
      <c r="AB73" s="85">
        <v>55685</v>
      </c>
      <c r="AC73" s="40"/>
      <c r="AD73" s="101"/>
      <c r="AE73" s="40">
        <f t="shared" si="25"/>
        <v>0</v>
      </c>
      <c r="AF73" s="40"/>
      <c r="AG73" s="40"/>
      <c r="AH73" s="40">
        <f t="shared" si="26"/>
        <v>0</v>
      </c>
      <c r="AJ73" s="85">
        <v>55685</v>
      </c>
      <c r="AK73" s="40"/>
      <c r="AL73" s="101"/>
      <c r="AM73" s="40">
        <f t="shared" si="27"/>
        <v>0</v>
      </c>
      <c r="AN73" s="40"/>
      <c r="AO73" s="40"/>
      <c r="AP73" s="40">
        <f t="shared" si="28"/>
        <v>0</v>
      </c>
      <c r="AR73" s="85">
        <v>55685</v>
      </c>
      <c r="AS73" s="40"/>
      <c r="AT73" s="101"/>
      <c r="AU73" s="40"/>
      <c r="AV73" s="101"/>
      <c r="AW73" s="40">
        <f t="shared" si="48"/>
        <v>0</v>
      </c>
      <c r="AX73" s="40"/>
      <c r="AY73" s="40"/>
      <c r="AZ73" s="40">
        <f t="shared" ref="AZ73:AZ89" si="50">SUM(AS73,AU73,AW73,AX73,AY73)</f>
        <v>0</v>
      </c>
      <c r="BB73" s="85">
        <v>55685</v>
      </c>
      <c r="BC73" s="40"/>
      <c r="BD73" s="40"/>
      <c r="BE73" s="40"/>
      <c r="BF73" s="40"/>
      <c r="BG73" s="40">
        <f t="shared" ref="BG73:BG89" si="51">SUM(BC73,BE73,BF73)</f>
        <v>0</v>
      </c>
      <c r="BI73" s="85">
        <v>55685</v>
      </c>
      <c r="BJ73" s="40"/>
      <c r="BK73" s="40"/>
      <c r="BL73" s="40"/>
      <c r="BM73" s="40"/>
      <c r="BN73" s="40">
        <v>0</v>
      </c>
      <c r="BP73" s="85">
        <v>55685</v>
      </c>
      <c r="BQ73" s="40"/>
      <c r="BR73" s="40"/>
      <c r="BS73" s="40"/>
      <c r="BT73" s="40"/>
      <c r="BU73" s="40">
        <v>0</v>
      </c>
      <c r="BW73" s="85">
        <v>55685</v>
      </c>
      <c r="BX73" s="40"/>
      <c r="BY73" s="40"/>
      <c r="BZ73" s="40"/>
      <c r="CA73" s="40"/>
      <c r="CB73" s="40">
        <v>0</v>
      </c>
      <c r="CD73" s="85">
        <v>55685</v>
      </c>
      <c r="CE73" s="40"/>
      <c r="CF73" s="40"/>
      <c r="CG73" s="40"/>
      <c r="CH73" s="40">
        <v>0</v>
      </c>
      <c r="CJ73" s="85">
        <v>55685</v>
      </c>
      <c r="CK73" s="40"/>
      <c r="CL73" s="87">
        <v>0</v>
      </c>
      <c r="CM73" s="40"/>
      <c r="CN73" s="40">
        <v>0</v>
      </c>
      <c r="CP73" s="85">
        <v>55685</v>
      </c>
      <c r="CQ73" s="40">
        <v>125400000</v>
      </c>
      <c r="CR73" s="87">
        <v>0.05</v>
      </c>
      <c r="CS73" s="40">
        <f>(CQ73*CR73)/2</f>
        <v>3135000</v>
      </c>
      <c r="CT73" s="40"/>
      <c r="CU73" s="40">
        <f t="shared" si="40"/>
        <v>128535000</v>
      </c>
      <c r="CW73" s="85">
        <v>55685</v>
      </c>
      <c r="CY73" s="40"/>
      <c r="DB73" s="40">
        <v>0</v>
      </c>
      <c r="DD73" s="85">
        <v>55685</v>
      </c>
      <c r="DE73" s="40"/>
      <c r="DF73" s="40"/>
      <c r="DG73" s="40"/>
      <c r="DH73" s="40"/>
      <c r="DI73" s="40"/>
      <c r="DJ73" s="40"/>
      <c r="DK73" s="40"/>
      <c r="DL73" s="40"/>
      <c r="DO73" s="40">
        <f t="shared" ref="DO73:DO89" si="52">SUM(DE73,DG73,DI73,DK73,DM73)</f>
        <v>0</v>
      </c>
      <c r="DQ73" s="85">
        <v>55685</v>
      </c>
      <c r="DU73" s="40">
        <f t="shared" si="42"/>
        <v>0</v>
      </c>
      <c r="DW73" s="85">
        <v>55685</v>
      </c>
      <c r="EB73" s="40">
        <f t="shared" si="43"/>
        <v>0</v>
      </c>
      <c r="ED73" s="85">
        <v>55685</v>
      </c>
      <c r="EI73" s="40">
        <f t="shared" si="41"/>
        <v>0</v>
      </c>
      <c r="EJ73" s="85"/>
      <c r="EK73" s="85">
        <v>55685</v>
      </c>
      <c r="EQ73" s="85">
        <v>55685</v>
      </c>
      <c r="ES73" s="101"/>
      <c r="ET73" s="40">
        <f t="shared" si="33"/>
        <v>0</v>
      </c>
      <c r="EU73" s="40">
        <f t="shared" si="12"/>
        <v>0</v>
      </c>
      <c r="EW73" s="85">
        <v>55685</v>
      </c>
      <c r="EY73" s="101"/>
      <c r="EZ73" s="40">
        <f t="shared" si="49"/>
        <v>0</v>
      </c>
      <c r="FA73" s="40">
        <f t="shared" si="13"/>
        <v>0</v>
      </c>
      <c r="FC73" s="85">
        <v>55685</v>
      </c>
      <c r="FH73" s="40">
        <f t="shared" si="44"/>
        <v>0</v>
      </c>
      <c r="FJ73" s="85">
        <v>55685</v>
      </c>
      <c r="FO73" s="40">
        <f t="shared" si="45"/>
        <v>0</v>
      </c>
      <c r="FQ73" s="85">
        <v>55685</v>
      </c>
      <c r="FV73" s="40">
        <f t="shared" si="46"/>
        <v>0</v>
      </c>
      <c r="FX73" s="85">
        <v>55685</v>
      </c>
      <c r="GC73" s="40">
        <f t="shared" si="47"/>
        <v>0</v>
      </c>
    </row>
    <row r="74" spans="2:185" x14ac:dyDescent="0.25">
      <c r="B74" s="85">
        <v>55884</v>
      </c>
      <c r="C74" s="85"/>
      <c r="D74" s="85">
        <v>55868</v>
      </c>
      <c r="E74" s="40">
        <f t="shared" si="18"/>
        <v>0</v>
      </c>
      <c r="F74" s="40">
        <f t="shared" si="19"/>
        <v>0</v>
      </c>
      <c r="G74" s="40">
        <f t="shared" si="20"/>
        <v>0</v>
      </c>
      <c r="H74" s="40">
        <v>0</v>
      </c>
      <c r="I74" s="40">
        <f t="shared" si="21"/>
        <v>0</v>
      </c>
      <c r="J74" s="40"/>
      <c r="L74" s="85">
        <v>55868</v>
      </c>
      <c r="M74" s="40"/>
      <c r="N74" s="101"/>
      <c r="O74" s="40">
        <f t="shared" si="37"/>
        <v>0</v>
      </c>
      <c r="P74" s="40"/>
      <c r="Q74" s="40"/>
      <c r="R74" s="40">
        <f t="shared" si="22"/>
        <v>0</v>
      </c>
      <c r="T74" s="85">
        <v>55868</v>
      </c>
      <c r="U74" s="40"/>
      <c r="V74" s="101"/>
      <c r="W74" s="40">
        <f t="shared" si="23"/>
        <v>0</v>
      </c>
      <c r="X74" s="40"/>
      <c r="Y74" s="40"/>
      <c r="Z74" s="40">
        <f t="shared" si="24"/>
        <v>0</v>
      </c>
      <c r="AB74" s="85">
        <v>55868</v>
      </c>
      <c r="AC74" s="40"/>
      <c r="AD74" s="101"/>
      <c r="AE74" s="40">
        <f t="shared" si="25"/>
        <v>0</v>
      </c>
      <c r="AF74" s="40"/>
      <c r="AG74" s="40"/>
      <c r="AH74" s="40">
        <f t="shared" si="26"/>
        <v>0</v>
      </c>
      <c r="AJ74" s="85">
        <v>55868</v>
      </c>
      <c r="AK74" s="40"/>
      <c r="AL74" s="101"/>
      <c r="AM74" s="40">
        <f t="shared" si="27"/>
        <v>0</v>
      </c>
      <c r="AN74" s="40"/>
      <c r="AO74" s="40"/>
      <c r="AP74" s="40">
        <f t="shared" si="28"/>
        <v>0</v>
      </c>
      <c r="AR74" s="85">
        <v>55868</v>
      </c>
      <c r="AS74" s="40"/>
      <c r="AT74" s="101"/>
      <c r="AU74" s="40"/>
      <c r="AV74" s="101"/>
      <c r="AW74" s="40">
        <f t="shared" si="48"/>
        <v>0</v>
      </c>
      <c r="AX74" s="40"/>
      <c r="AY74" s="40"/>
      <c r="AZ74" s="40">
        <f t="shared" si="50"/>
        <v>0</v>
      </c>
      <c r="BB74" s="85">
        <v>55868</v>
      </c>
      <c r="BC74" s="40"/>
      <c r="BD74" s="40"/>
      <c r="BE74" s="40"/>
      <c r="BF74" s="40"/>
      <c r="BG74" s="40">
        <f t="shared" si="51"/>
        <v>0</v>
      </c>
      <c r="BI74" s="85">
        <v>55868</v>
      </c>
      <c r="BJ74" s="40"/>
      <c r="BK74" s="40"/>
      <c r="BL74" s="40"/>
      <c r="BM74" s="40"/>
      <c r="BN74" s="40">
        <v>0</v>
      </c>
      <c r="BP74" s="85">
        <v>55868</v>
      </c>
      <c r="BQ74" s="40"/>
      <c r="BR74" s="40"/>
      <c r="BS74" s="40"/>
      <c r="BT74" s="40"/>
      <c r="BU74" s="40">
        <v>0</v>
      </c>
      <c r="BW74" s="85">
        <v>55868</v>
      </c>
      <c r="BX74" s="40"/>
      <c r="BY74" s="40"/>
      <c r="BZ74" s="40"/>
      <c r="CA74" s="40"/>
      <c r="CB74" s="40">
        <v>0</v>
      </c>
      <c r="CD74" s="85">
        <v>55868</v>
      </c>
      <c r="CE74" s="40"/>
      <c r="CF74" s="40"/>
      <c r="CG74" s="40"/>
      <c r="CH74" s="40">
        <v>0</v>
      </c>
      <c r="CJ74" s="85">
        <v>55868</v>
      </c>
      <c r="CK74" s="40"/>
      <c r="CL74" s="87">
        <v>0</v>
      </c>
      <c r="CM74" s="40"/>
      <c r="CN74" s="40">
        <v>0</v>
      </c>
      <c r="CP74" s="85">
        <v>55868</v>
      </c>
      <c r="CQ74" s="40"/>
      <c r="CR74" s="87"/>
      <c r="CS74" s="40"/>
      <c r="CT74" s="40"/>
      <c r="CU74" s="40">
        <f t="shared" si="40"/>
        <v>0</v>
      </c>
      <c r="CW74" s="85">
        <v>55868</v>
      </c>
      <c r="CY74" s="40"/>
      <c r="CZ74" s="87"/>
      <c r="DB74" s="40">
        <v>0</v>
      </c>
      <c r="DD74" s="85">
        <v>55868</v>
      </c>
      <c r="DE74" s="40"/>
      <c r="DF74" s="87"/>
      <c r="DG74" s="40"/>
      <c r="DH74" s="87"/>
      <c r="DI74" s="40"/>
      <c r="DJ74" s="87"/>
      <c r="DK74" s="40"/>
      <c r="DL74" s="87"/>
      <c r="DM74" s="40"/>
      <c r="DO74" s="40">
        <f t="shared" si="52"/>
        <v>0</v>
      </c>
      <c r="DQ74" s="85">
        <v>55868</v>
      </c>
      <c r="DR74" s="40"/>
      <c r="DS74" s="87"/>
      <c r="DT74" s="40"/>
      <c r="DU74" s="40">
        <f t="shared" si="42"/>
        <v>0</v>
      </c>
      <c r="DW74" s="85">
        <v>55868</v>
      </c>
      <c r="EB74" s="40">
        <f t="shared" si="43"/>
        <v>0</v>
      </c>
      <c r="ED74" s="85">
        <v>55868</v>
      </c>
      <c r="EI74" s="40">
        <f t="shared" si="41"/>
        <v>0</v>
      </c>
      <c r="EJ74" s="85"/>
      <c r="EK74" s="85">
        <v>55868</v>
      </c>
      <c r="EL74" s="151"/>
      <c r="EM74" s="151"/>
      <c r="EN74" s="151"/>
      <c r="EO74" s="151"/>
      <c r="EQ74" s="85">
        <v>55868</v>
      </c>
      <c r="ER74" s="151"/>
      <c r="ES74" s="155"/>
      <c r="ET74" s="40">
        <f t="shared" ref="ET74:ET88" si="53">ER74*ES74/2+ET75</f>
        <v>0</v>
      </c>
      <c r="EU74" s="40">
        <f t="shared" si="12"/>
        <v>0</v>
      </c>
      <c r="EW74" s="85">
        <v>55868</v>
      </c>
      <c r="EX74" s="151"/>
      <c r="EY74" s="155"/>
      <c r="EZ74" s="40">
        <f t="shared" si="49"/>
        <v>0</v>
      </c>
      <c r="FA74" s="40">
        <f t="shared" si="13"/>
        <v>0</v>
      </c>
      <c r="FC74" s="85">
        <v>55868</v>
      </c>
      <c r="FD74" s="151"/>
      <c r="FE74" s="151"/>
      <c r="FF74" s="151"/>
      <c r="FG74" s="151"/>
      <c r="FH74" s="40">
        <f t="shared" si="44"/>
        <v>0</v>
      </c>
      <c r="FJ74" s="85">
        <v>55868</v>
      </c>
      <c r="FK74" s="151"/>
      <c r="FL74" s="151"/>
      <c r="FM74" s="151"/>
      <c r="FN74" s="151"/>
      <c r="FO74" s="40">
        <f t="shared" si="45"/>
        <v>0</v>
      </c>
      <c r="FQ74" s="85">
        <v>55868</v>
      </c>
      <c r="FR74" s="151"/>
      <c r="FS74" s="151"/>
      <c r="FT74" s="151"/>
      <c r="FU74" s="151"/>
      <c r="FV74" s="40">
        <f t="shared" si="46"/>
        <v>0</v>
      </c>
      <c r="FX74" s="85">
        <v>55868</v>
      </c>
      <c r="FY74" s="151"/>
      <c r="FZ74" s="151"/>
      <c r="GA74" s="151"/>
      <c r="GB74" s="151"/>
      <c r="GC74" s="40">
        <f t="shared" si="47"/>
        <v>0</v>
      </c>
    </row>
    <row r="75" spans="2:185" x14ac:dyDescent="0.25">
      <c r="B75" s="85">
        <v>56065</v>
      </c>
      <c r="C75" s="85"/>
      <c r="D75" s="85">
        <v>56050</v>
      </c>
      <c r="E75" s="40">
        <f t="shared" si="18"/>
        <v>0</v>
      </c>
      <c r="F75" s="40">
        <f t="shared" si="19"/>
        <v>0</v>
      </c>
      <c r="G75" s="40">
        <f t="shared" si="20"/>
        <v>0</v>
      </c>
      <c r="H75" s="40">
        <v>0</v>
      </c>
      <c r="I75" s="40">
        <f t="shared" si="21"/>
        <v>0</v>
      </c>
      <c r="J75" s="40">
        <f>SUM(I74:I75)</f>
        <v>0</v>
      </c>
      <c r="L75" s="85">
        <v>56050</v>
      </c>
      <c r="M75" s="40"/>
      <c r="N75" s="101"/>
      <c r="O75" s="40">
        <f t="shared" si="37"/>
        <v>0</v>
      </c>
      <c r="P75" s="40"/>
      <c r="Q75" s="40"/>
      <c r="R75" s="40">
        <f t="shared" si="22"/>
        <v>0</v>
      </c>
      <c r="T75" s="85">
        <v>56050</v>
      </c>
      <c r="U75" s="40"/>
      <c r="V75" s="101"/>
      <c r="W75" s="40">
        <f t="shared" si="23"/>
        <v>0</v>
      </c>
      <c r="X75" s="40"/>
      <c r="Y75" s="40"/>
      <c r="Z75" s="40">
        <f t="shared" si="24"/>
        <v>0</v>
      </c>
      <c r="AB75" s="85">
        <v>56050</v>
      </c>
      <c r="AC75" s="40"/>
      <c r="AD75" s="101"/>
      <c r="AE75" s="40">
        <f t="shared" si="25"/>
        <v>0</v>
      </c>
      <c r="AF75" s="40"/>
      <c r="AG75" s="40"/>
      <c r="AH75" s="40">
        <f t="shared" si="26"/>
        <v>0</v>
      </c>
      <c r="AJ75" s="85">
        <v>56050</v>
      </c>
      <c r="AK75" s="40"/>
      <c r="AL75" s="101"/>
      <c r="AM75" s="40">
        <f t="shared" si="27"/>
        <v>0</v>
      </c>
      <c r="AN75" s="40"/>
      <c r="AO75" s="40"/>
      <c r="AP75" s="40">
        <f t="shared" si="28"/>
        <v>0</v>
      </c>
      <c r="AR75" s="85">
        <v>56050</v>
      </c>
      <c r="AS75" s="40"/>
      <c r="AT75" s="101"/>
      <c r="AU75" s="40"/>
      <c r="AV75" s="101"/>
      <c r="AW75" s="40">
        <f t="shared" si="48"/>
        <v>0</v>
      </c>
      <c r="AX75" s="40"/>
      <c r="AY75" s="40"/>
      <c r="AZ75" s="40">
        <f t="shared" si="50"/>
        <v>0</v>
      </c>
      <c r="BB75" s="85">
        <v>56050</v>
      </c>
      <c r="BC75" s="40"/>
      <c r="BD75" s="40"/>
      <c r="BE75" s="40"/>
      <c r="BF75" s="40"/>
      <c r="BG75" s="40">
        <f t="shared" si="51"/>
        <v>0</v>
      </c>
      <c r="BI75" s="85">
        <v>56050</v>
      </c>
      <c r="BJ75" s="40"/>
      <c r="BK75" s="40"/>
      <c r="BL75" s="40"/>
      <c r="BM75" s="40"/>
      <c r="BN75" s="40">
        <v>0</v>
      </c>
      <c r="BP75" s="85">
        <v>56050</v>
      </c>
      <c r="BQ75" s="40"/>
      <c r="BR75" s="40"/>
      <c r="BS75" s="40"/>
      <c r="BT75" s="40"/>
      <c r="BU75" s="40">
        <v>0</v>
      </c>
      <c r="BW75" s="85">
        <v>56050</v>
      </c>
      <c r="BX75" s="40"/>
      <c r="BY75" s="40"/>
      <c r="BZ75" s="40"/>
      <c r="CA75" s="40"/>
      <c r="CB75" s="40">
        <v>0</v>
      </c>
      <c r="CD75" s="85">
        <v>56050</v>
      </c>
      <c r="CE75" s="40"/>
      <c r="CF75" s="40"/>
      <c r="CG75" s="40"/>
      <c r="CH75" s="40">
        <v>0</v>
      </c>
      <c r="CJ75" s="85">
        <v>56050</v>
      </c>
      <c r="CK75" s="40"/>
      <c r="CL75" s="87">
        <v>0</v>
      </c>
      <c r="CM75" s="40"/>
      <c r="CN75" s="40">
        <v>0</v>
      </c>
      <c r="CP75" s="85">
        <v>56050</v>
      </c>
      <c r="CQ75" s="40"/>
      <c r="CR75" s="87"/>
      <c r="CS75" s="40"/>
      <c r="CT75" s="40"/>
      <c r="CU75" s="40">
        <f t="shared" si="40"/>
        <v>0</v>
      </c>
      <c r="CW75" s="85">
        <v>56050</v>
      </c>
      <c r="CY75" s="40"/>
      <c r="CZ75" s="87"/>
      <c r="DB75" s="40">
        <v>0</v>
      </c>
      <c r="DD75" s="85">
        <v>56050</v>
      </c>
      <c r="DE75" s="40"/>
      <c r="DF75" s="87"/>
      <c r="DG75" s="40"/>
      <c r="DH75" s="87"/>
      <c r="DI75" s="40"/>
      <c r="DJ75" s="87"/>
      <c r="DK75" s="40"/>
      <c r="DL75" s="87"/>
      <c r="DM75" s="40"/>
      <c r="DO75" s="40">
        <f t="shared" si="52"/>
        <v>0</v>
      </c>
      <c r="DQ75" s="85">
        <v>56050</v>
      </c>
      <c r="DR75" s="40"/>
      <c r="DS75" s="87"/>
      <c r="DT75" s="40"/>
      <c r="DU75" s="40">
        <f t="shared" si="42"/>
        <v>0</v>
      </c>
      <c r="DW75" s="85">
        <v>56050</v>
      </c>
      <c r="EB75" s="40">
        <f t="shared" si="43"/>
        <v>0</v>
      </c>
      <c r="ED75" s="85">
        <v>56050</v>
      </c>
      <c r="EI75" s="40">
        <f t="shared" si="41"/>
        <v>0</v>
      </c>
      <c r="EJ75" s="85"/>
      <c r="EK75" s="85">
        <v>56050</v>
      </c>
      <c r="EL75" s="151"/>
      <c r="EM75" s="151"/>
      <c r="EN75" s="151"/>
      <c r="EO75" s="151"/>
      <c r="EQ75" s="85">
        <v>56050</v>
      </c>
      <c r="ER75" s="151"/>
      <c r="ES75" s="155"/>
      <c r="ET75" s="40">
        <f t="shared" si="53"/>
        <v>0</v>
      </c>
      <c r="EU75" s="40">
        <f t="shared" ref="EU75:EU89" si="54">ER75+ET75</f>
        <v>0</v>
      </c>
      <c r="EW75" s="85">
        <v>56050</v>
      </c>
      <c r="EX75" s="151"/>
      <c r="EY75" s="155"/>
      <c r="EZ75" s="40">
        <f t="shared" si="49"/>
        <v>0</v>
      </c>
      <c r="FA75" s="40">
        <f t="shared" ref="FA75:FA89" si="55">EX75+EZ75</f>
        <v>0</v>
      </c>
      <c r="FC75" s="85">
        <v>56050</v>
      </c>
      <c r="FD75" s="151"/>
      <c r="FE75" s="151"/>
      <c r="FF75" s="151"/>
      <c r="FG75" s="151"/>
      <c r="FH75" s="40">
        <f t="shared" si="44"/>
        <v>0</v>
      </c>
      <c r="FJ75" s="85">
        <v>56050</v>
      </c>
      <c r="FK75" s="151"/>
      <c r="FL75" s="151"/>
      <c r="FM75" s="151"/>
      <c r="FN75" s="151"/>
      <c r="FO75" s="40">
        <f t="shared" si="45"/>
        <v>0</v>
      </c>
      <c r="FQ75" s="85">
        <v>56050</v>
      </c>
      <c r="FR75" s="151"/>
      <c r="FS75" s="151"/>
      <c r="FT75" s="151"/>
      <c r="FU75" s="151"/>
      <c r="FV75" s="40">
        <f t="shared" si="46"/>
        <v>0</v>
      </c>
      <c r="FX75" s="85">
        <v>56050</v>
      </c>
      <c r="FY75" s="151"/>
      <c r="FZ75" s="151"/>
      <c r="GA75" s="151"/>
      <c r="GB75" s="151"/>
      <c r="GC75" s="40">
        <f t="shared" si="47"/>
        <v>0</v>
      </c>
    </row>
    <row r="76" spans="2:185" x14ac:dyDescent="0.25">
      <c r="B76" s="85">
        <v>56249</v>
      </c>
      <c r="C76" s="85"/>
      <c r="D76" s="85">
        <v>56233</v>
      </c>
      <c r="E76" s="40">
        <f t="shared" si="18"/>
        <v>0</v>
      </c>
      <c r="F76" s="40">
        <f t="shared" si="19"/>
        <v>0</v>
      </c>
      <c r="G76" s="40">
        <f t="shared" si="20"/>
        <v>0</v>
      </c>
      <c r="H76" s="40">
        <v>0</v>
      </c>
      <c r="I76" s="40">
        <f t="shared" si="21"/>
        <v>0</v>
      </c>
      <c r="J76" s="40"/>
      <c r="L76" s="85">
        <v>56233</v>
      </c>
      <c r="M76" s="40"/>
      <c r="N76" s="101"/>
      <c r="O76" s="40">
        <f t="shared" si="37"/>
        <v>0</v>
      </c>
      <c r="P76" s="40"/>
      <c r="Q76" s="40"/>
      <c r="R76" s="40">
        <f t="shared" si="22"/>
        <v>0</v>
      </c>
      <c r="T76" s="85">
        <v>56233</v>
      </c>
      <c r="U76" s="40"/>
      <c r="V76" s="101"/>
      <c r="W76" s="40">
        <f t="shared" si="23"/>
        <v>0</v>
      </c>
      <c r="X76" s="40"/>
      <c r="Y76" s="40"/>
      <c r="Z76" s="40">
        <f t="shared" si="24"/>
        <v>0</v>
      </c>
      <c r="AB76" s="85">
        <v>56233</v>
      </c>
      <c r="AC76" s="40"/>
      <c r="AD76" s="101"/>
      <c r="AE76" s="40">
        <f t="shared" si="25"/>
        <v>0</v>
      </c>
      <c r="AF76" s="40"/>
      <c r="AG76" s="40"/>
      <c r="AH76" s="40">
        <f t="shared" si="26"/>
        <v>0</v>
      </c>
      <c r="AJ76" s="85">
        <v>56233</v>
      </c>
      <c r="AK76" s="40"/>
      <c r="AL76" s="101"/>
      <c r="AM76" s="40">
        <f t="shared" si="27"/>
        <v>0</v>
      </c>
      <c r="AN76" s="40"/>
      <c r="AO76" s="40"/>
      <c r="AP76" s="40">
        <f t="shared" si="28"/>
        <v>0</v>
      </c>
      <c r="AR76" s="85">
        <v>56233</v>
      </c>
      <c r="AS76" s="40"/>
      <c r="AT76" s="101"/>
      <c r="AU76" s="40"/>
      <c r="AV76" s="101"/>
      <c r="AW76" s="40">
        <f t="shared" si="48"/>
        <v>0</v>
      </c>
      <c r="AX76" s="40"/>
      <c r="AY76" s="40"/>
      <c r="AZ76" s="40">
        <f t="shared" si="50"/>
        <v>0</v>
      </c>
      <c r="BB76" s="85">
        <v>56233</v>
      </c>
      <c r="BC76" s="40"/>
      <c r="BD76" s="40"/>
      <c r="BE76" s="40"/>
      <c r="BF76" s="40"/>
      <c r="BG76" s="40">
        <f t="shared" si="51"/>
        <v>0</v>
      </c>
      <c r="BI76" s="85">
        <v>56233</v>
      </c>
      <c r="BJ76" s="40"/>
      <c r="BK76" s="40"/>
      <c r="BL76" s="40"/>
      <c r="BM76" s="40"/>
      <c r="BN76" s="40">
        <v>0</v>
      </c>
      <c r="BP76" s="85">
        <v>56233</v>
      </c>
      <c r="BQ76" s="40"/>
      <c r="BR76" s="40"/>
      <c r="BS76" s="40"/>
      <c r="BT76" s="40"/>
      <c r="BU76" s="40">
        <v>0</v>
      </c>
      <c r="BW76" s="85">
        <v>56233</v>
      </c>
      <c r="BX76" s="40"/>
      <c r="BY76" s="40"/>
      <c r="BZ76" s="40"/>
      <c r="CA76" s="40"/>
      <c r="CB76" s="40">
        <v>0</v>
      </c>
      <c r="CD76" s="85">
        <v>56233</v>
      </c>
      <c r="CE76" s="40"/>
      <c r="CF76" s="40"/>
      <c r="CG76" s="40"/>
      <c r="CH76" s="40">
        <v>0</v>
      </c>
      <c r="CJ76" s="85">
        <v>56233</v>
      </c>
      <c r="CK76" s="40"/>
      <c r="CL76" s="87">
        <v>0</v>
      </c>
      <c r="CM76" s="40"/>
      <c r="CN76" s="40">
        <v>0</v>
      </c>
      <c r="CP76" s="85">
        <v>56233</v>
      </c>
      <c r="CQ76" s="40"/>
      <c r="CR76" s="87"/>
      <c r="CS76" s="40"/>
      <c r="CT76" s="40"/>
      <c r="CU76" s="40">
        <f t="shared" si="40"/>
        <v>0</v>
      </c>
      <c r="CW76" s="85">
        <v>56233</v>
      </c>
      <c r="CY76" s="40"/>
      <c r="CZ76" s="87"/>
      <c r="DB76" s="40">
        <v>0</v>
      </c>
      <c r="DD76" s="85">
        <v>56233</v>
      </c>
      <c r="DE76" s="40"/>
      <c r="DF76" s="87"/>
      <c r="DG76" s="40"/>
      <c r="DH76" s="87"/>
      <c r="DI76" s="40"/>
      <c r="DJ76" s="87"/>
      <c r="DK76" s="40"/>
      <c r="DL76" s="87"/>
      <c r="DM76" s="40"/>
      <c r="DO76" s="40">
        <f t="shared" si="52"/>
        <v>0</v>
      </c>
      <c r="DQ76" s="85">
        <v>56233</v>
      </c>
      <c r="DR76" s="40"/>
      <c r="DS76" s="87"/>
      <c r="DT76" s="40"/>
      <c r="DU76" s="40">
        <f t="shared" si="42"/>
        <v>0</v>
      </c>
      <c r="DW76" s="85">
        <v>56233</v>
      </c>
      <c r="EB76" s="40">
        <f t="shared" si="43"/>
        <v>0</v>
      </c>
      <c r="ED76" s="85">
        <v>56233</v>
      </c>
      <c r="EI76" s="40">
        <f t="shared" si="41"/>
        <v>0</v>
      </c>
      <c r="EJ76" s="85"/>
      <c r="EK76" s="85">
        <v>56233</v>
      </c>
      <c r="EL76" s="151"/>
      <c r="EM76" s="151"/>
      <c r="EN76" s="151"/>
      <c r="EO76" s="151"/>
      <c r="EQ76" s="85">
        <v>56233</v>
      </c>
      <c r="ER76" s="151"/>
      <c r="ES76" s="155"/>
      <c r="ET76" s="40">
        <f t="shared" si="53"/>
        <v>0</v>
      </c>
      <c r="EU76" s="40">
        <f t="shared" si="54"/>
        <v>0</v>
      </c>
      <c r="EW76" s="85">
        <v>56233</v>
      </c>
      <c r="EX76" s="151"/>
      <c r="EY76" s="155"/>
      <c r="EZ76" s="40">
        <f t="shared" si="49"/>
        <v>0</v>
      </c>
      <c r="FA76" s="40">
        <f t="shared" si="55"/>
        <v>0</v>
      </c>
      <c r="FC76" s="85">
        <v>56233</v>
      </c>
      <c r="FD76" s="151"/>
      <c r="FE76" s="151"/>
      <c r="FF76" s="151"/>
      <c r="FG76" s="151"/>
      <c r="FH76" s="40">
        <f t="shared" si="44"/>
        <v>0</v>
      </c>
      <c r="FJ76" s="85">
        <v>56233</v>
      </c>
      <c r="FK76" s="151"/>
      <c r="FL76" s="151"/>
      <c r="FM76" s="151"/>
      <c r="FN76" s="151"/>
      <c r="FO76" s="40">
        <f t="shared" si="45"/>
        <v>0</v>
      </c>
      <c r="FQ76" s="85">
        <v>56233</v>
      </c>
      <c r="FR76" s="151"/>
      <c r="FS76" s="151"/>
      <c r="FT76" s="151"/>
      <c r="FU76" s="151"/>
      <c r="FV76" s="40">
        <f t="shared" si="46"/>
        <v>0</v>
      </c>
      <c r="FX76" s="85">
        <v>56233</v>
      </c>
      <c r="FY76" s="151"/>
      <c r="FZ76" s="151"/>
      <c r="GA76" s="151"/>
      <c r="GB76" s="151"/>
      <c r="GC76" s="40">
        <f t="shared" si="47"/>
        <v>0</v>
      </c>
    </row>
    <row r="77" spans="2:185" x14ac:dyDescent="0.25">
      <c r="B77" s="85">
        <v>56430</v>
      </c>
      <c r="C77" s="85"/>
      <c r="D77" s="85">
        <v>56415</v>
      </c>
      <c r="E77" s="40">
        <f t="shared" ref="E77:E89" si="56">SUM(M77,U77,AC77,AK77,AS77,BC77,BJ77,BQ77,BX77,CE77,CK77,CQ77,CX77,DE77,DG77,DI77,DK77,DR77,DX77,EE77,EL77,ER77,EX77,FD77,FK77,FR77,FY77)</f>
        <v>0</v>
      </c>
      <c r="F77" s="40">
        <f t="shared" ref="F77:F89" si="57">SUM(O77,W77,AE77,AM77,AW77,BE77,BL77,BS77,BZ77,CG77,CM77,CS77,DA77,DM77,DT77,DZ77,EG77,EN77,ET77,EZ77,FF77,FM77,FT77,GA77)</f>
        <v>0</v>
      </c>
      <c r="G77" s="40">
        <f t="shared" ref="G77:G89" si="58">SUM(P77,X77,AF77,AN77,AX77,BF77,BM77,BT77,CA77,CT77,DN77,EA77,EH77,FG77,FN77,FU77,GB77)</f>
        <v>0</v>
      </c>
      <c r="H77" s="40">
        <v>0</v>
      </c>
      <c r="I77" s="40">
        <f t="shared" ref="I77:I89" si="59">SUM(E77:H77)</f>
        <v>0</v>
      </c>
      <c r="J77" s="40">
        <f>SUM(I76:I77)</f>
        <v>0</v>
      </c>
      <c r="L77" s="85">
        <v>56415</v>
      </c>
      <c r="M77" s="40"/>
      <c r="N77" s="101"/>
      <c r="O77" s="40">
        <f t="shared" ref="O77:O89" si="60">(M77*N77/2)+O78</f>
        <v>0</v>
      </c>
      <c r="P77" s="40"/>
      <c r="Q77" s="40"/>
      <c r="R77" s="40">
        <f t="shared" ref="R77:R89" si="61">SUM(M77,O77,P77,Q77)</f>
        <v>0</v>
      </c>
      <c r="T77" s="85">
        <v>56415</v>
      </c>
      <c r="U77" s="40"/>
      <c r="V77" s="101"/>
      <c r="W77" s="40">
        <f t="shared" ref="W77:W89" si="62">(U77*V77/2)+W78</f>
        <v>0</v>
      </c>
      <c r="X77" s="40"/>
      <c r="Y77" s="40"/>
      <c r="Z77" s="40">
        <f t="shared" ref="Z77:Z89" si="63">SUM(U77,W77,X77,Y77)</f>
        <v>0</v>
      </c>
      <c r="AB77" s="85">
        <v>56415</v>
      </c>
      <c r="AC77" s="40"/>
      <c r="AD77" s="101"/>
      <c r="AE77" s="40">
        <f t="shared" ref="AE77:AE89" si="64">(AC77*AD77/2)+AE78</f>
        <v>0</v>
      </c>
      <c r="AF77" s="40"/>
      <c r="AG77" s="40"/>
      <c r="AH77" s="40">
        <f t="shared" ref="AH77:AH89" si="65">SUM(AC77,AE77,AF77,AG77)</f>
        <v>0</v>
      </c>
      <c r="AJ77" s="85">
        <v>56415</v>
      </c>
      <c r="AK77" s="40"/>
      <c r="AL77" s="101"/>
      <c r="AM77" s="40">
        <f t="shared" ref="AM77:AM89" si="66">(AK77*AL77/2)+AM78</f>
        <v>0</v>
      </c>
      <c r="AN77" s="40"/>
      <c r="AO77" s="40"/>
      <c r="AP77" s="40">
        <f t="shared" ref="AP77:AP89" si="67">SUM(AK77,AM77,AN77,AO77)</f>
        <v>0</v>
      </c>
      <c r="AR77" s="85">
        <v>56415</v>
      </c>
      <c r="AS77" s="40"/>
      <c r="AT77" s="101"/>
      <c r="AU77" s="40"/>
      <c r="AV77" s="101"/>
      <c r="AW77" s="40">
        <f t="shared" si="48"/>
        <v>0</v>
      </c>
      <c r="AX77" s="40"/>
      <c r="AY77" s="40"/>
      <c r="AZ77" s="40">
        <f t="shared" si="50"/>
        <v>0</v>
      </c>
      <c r="BB77" s="85">
        <v>56415</v>
      </c>
      <c r="BC77" s="40"/>
      <c r="BD77" s="40"/>
      <c r="BE77" s="40"/>
      <c r="BF77" s="40"/>
      <c r="BG77" s="40">
        <f t="shared" si="51"/>
        <v>0</v>
      </c>
      <c r="BI77" s="85">
        <v>56415</v>
      </c>
      <c r="BJ77" s="40"/>
      <c r="BK77" s="40"/>
      <c r="BL77" s="40"/>
      <c r="BM77" s="40"/>
      <c r="BN77" s="40">
        <v>0</v>
      </c>
      <c r="BP77" s="85">
        <v>56415</v>
      </c>
      <c r="BQ77" s="40"/>
      <c r="BR77" s="40"/>
      <c r="BS77" s="40"/>
      <c r="BT77" s="40"/>
      <c r="BU77" s="40">
        <v>0</v>
      </c>
      <c r="BW77" s="85">
        <v>56415</v>
      </c>
      <c r="BX77" s="40"/>
      <c r="BY77" s="40"/>
      <c r="BZ77" s="40"/>
      <c r="CA77" s="40"/>
      <c r="CB77" s="40">
        <v>0</v>
      </c>
      <c r="CD77" s="85">
        <v>56415</v>
      </c>
      <c r="CE77" s="40"/>
      <c r="CF77" s="40"/>
      <c r="CG77" s="40"/>
      <c r="CH77" s="40">
        <v>0</v>
      </c>
      <c r="CJ77" s="85">
        <v>56415</v>
      </c>
      <c r="CK77" s="40"/>
      <c r="CL77" s="87">
        <v>0</v>
      </c>
      <c r="CM77" s="40"/>
      <c r="CN77" s="40">
        <v>0</v>
      </c>
      <c r="CP77" s="85">
        <v>56415</v>
      </c>
      <c r="CQ77" s="40"/>
      <c r="CR77" s="87"/>
      <c r="CS77" s="40"/>
      <c r="CT77" s="40"/>
      <c r="CU77" s="40">
        <f t="shared" si="40"/>
        <v>0</v>
      </c>
      <c r="CW77" s="85">
        <v>56415</v>
      </c>
      <c r="CY77" s="40"/>
      <c r="CZ77" s="87"/>
      <c r="DB77" s="40">
        <v>0</v>
      </c>
      <c r="DD77" s="85">
        <v>56415</v>
      </c>
      <c r="DE77" s="40"/>
      <c r="DF77" s="87"/>
      <c r="DG77" s="40"/>
      <c r="DH77" s="87"/>
      <c r="DI77" s="40"/>
      <c r="DJ77" s="87"/>
      <c r="DK77" s="40"/>
      <c r="DL77" s="87"/>
      <c r="DM77" s="40"/>
      <c r="DO77" s="40">
        <f t="shared" si="52"/>
        <v>0</v>
      </c>
      <c r="DQ77" s="85">
        <v>56415</v>
      </c>
      <c r="DR77" s="40"/>
      <c r="DS77" s="87"/>
      <c r="DT77" s="40"/>
      <c r="DU77" s="40">
        <f t="shared" si="42"/>
        <v>0</v>
      </c>
      <c r="DW77" s="85">
        <v>56415</v>
      </c>
      <c r="EB77" s="40">
        <f t="shared" si="43"/>
        <v>0</v>
      </c>
      <c r="ED77" s="85">
        <v>56415</v>
      </c>
      <c r="EI77" s="40">
        <f t="shared" si="41"/>
        <v>0</v>
      </c>
      <c r="EJ77" s="85"/>
      <c r="EK77" s="85">
        <v>56415</v>
      </c>
      <c r="EL77" s="151"/>
      <c r="EM77" s="151"/>
      <c r="EN77" s="151"/>
      <c r="EO77" s="151"/>
      <c r="EQ77" s="85">
        <v>56415</v>
      </c>
      <c r="ER77" s="151"/>
      <c r="ES77" s="155"/>
      <c r="ET77" s="40">
        <f t="shared" si="53"/>
        <v>0</v>
      </c>
      <c r="EU77" s="40">
        <f t="shared" si="54"/>
        <v>0</v>
      </c>
      <c r="EW77" s="85">
        <v>56415</v>
      </c>
      <c r="EX77" s="151"/>
      <c r="EY77" s="155"/>
      <c r="EZ77" s="40">
        <f t="shared" si="49"/>
        <v>0</v>
      </c>
      <c r="FA77" s="40">
        <f t="shared" si="55"/>
        <v>0</v>
      </c>
      <c r="FC77" s="85">
        <v>56415</v>
      </c>
      <c r="FD77" s="151"/>
      <c r="FE77" s="151"/>
      <c r="FF77" s="151"/>
      <c r="FG77" s="151"/>
      <c r="FH77" s="40">
        <f t="shared" si="44"/>
        <v>0</v>
      </c>
      <c r="FJ77" s="85">
        <v>56415</v>
      </c>
      <c r="FK77" s="151"/>
      <c r="FL77" s="151"/>
      <c r="FM77" s="151"/>
      <c r="FN77" s="151"/>
      <c r="FO77" s="40">
        <f t="shared" si="45"/>
        <v>0</v>
      </c>
      <c r="FQ77" s="85">
        <v>56415</v>
      </c>
      <c r="FR77" s="151"/>
      <c r="FS77" s="151"/>
      <c r="FT77" s="151"/>
      <c r="FU77" s="151"/>
      <c r="FV77" s="40">
        <f t="shared" si="46"/>
        <v>0</v>
      </c>
      <c r="FX77" s="85">
        <v>56415</v>
      </c>
      <c r="FY77" s="151"/>
      <c r="FZ77" s="151"/>
      <c r="GA77" s="151"/>
      <c r="GB77" s="151"/>
      <c r="GC77" s="40">
        <f t="shared" si="47"/>
        <v>0</v>
      </c>
    </row>
    <row r="78" spans="2:185" x14ac:dyDescent="0.25">
      <c r="B78" s="85">
        <v>56614</v>
      </c>
      <c r="C78" s="85"/>
      <c r="D78" s="85">
        <v>56598</v>
      </c>
      <c r="E78" s="40">
        <f t="shared" si="56"/>
        <v>0</v>
      </c>
      <c r="F78" s="40">
        <f t="shared" si="57"/>
        <v>0</v>
      </c>
      <c r="G78" s="40">
        <f t="shared" si="58"/>
        <v>0</v>
      </c>
      <c r="H78" s="40">
        <v>0</v>
      </c>
      <c r="I78" s="40">
        <f t="shared" si="59"/>
        <v>0</v>
      </c>
      <c r="J78" s="40"/>
      <c r="L78" s="85">
        <v>56598</v>
      </c>
      <c r="M78" s="40"/>
      <c r="N78" s="101"/>
      <c r="O78" s="40">
        <f t="shared" si="60"/>
        <v>0</v>
      </c>
      <c r="P78" s="40"/>
      <c r="Q78" s="40"/>
      <c r="R78" s="40">
        <f t="shared" si="61"/>
        <v>0</v>
      </c>
      <c r="T78" s="85">
        <v>56598</v>
      </c>
      <c r="U78" s="40"/>
      <c r="V78" s="101"/>
      <c r="W78" s="40">
        <f t="shared" si="62"/>
        <v>0</v>
      </c>
      <c r="X78" s="40"/>
      <c r="Y78" s="40"/>
      <c r="Z78" s="40">
        <f t="shared" si="63"/>
        <v>0</v>
      </c>
      <c r="AB78" s="85">
        <v>56598</v>
      </c>
      <c r="AC78" s="40"/>
      <c r="AD78" s="101"/>
      <c r="AE78" s="40">
        <f t="shared" si="64"/>
        <v>0</v>
      </c>
      <c r="AF78" s="40"/>
      <c r="AG78" s="40"/>
      <c r="AH78" s="40">
        <f t="shared" si="65"/>
        <v>0</v>
      </c>
      <c r="AJ78" s="85">
        <v>56598</v>
      </c>
      <c r="AK78" s="40"/>
      <c r="AL78" s="101"/>
      <c r="AM78" s="40">
        <f t="shared" si="66"/>
        <v>0</v>
      </c>
      <c r="AN78" s="40"/>
      <c r="AO78" s="40"/>
      <c r="AP78" s="40">
        <f t="shared" si="67"/>
        <v>0</v>
      </c>
      <c r="AR78" s="85">
        <v>56598</v>
      </c>
      <c r="AS78" s="40"/>
      <c r="AT78" s="101"/>
      <c r="AU78" s="40"/>
      <c r="AV78" s="101"/>
      <c r="AW78" s="40">
        <f t="shared" si="48"/>
        <v>0</v>
      </c>
      <c r="AX78" s="40"/>
      <c r="AY78" s="40"/>
      <c r="AZ78" s="40">
        <f t="shared" si="50"/>
        <v>0</v>
      </c>
      <c r="BB78" s="85">
        <v>56598</v>
      </c>
      <c r="BC78" s="40"/>
      <c r="BD78" s="40"/>
      <c r="BE78" s="40"/>
      <c r="BF78" s="40"/>
      <c r="BG78" s="40">
        <f t="shared" si="51"/>
        <v>0</v>
      </c>
      <c r="BI78" s="85">
        <v>56598</v>
      </c>
      <c r="BJ78" s="40"/>
      <c r="BK78" s="40"/>
      <c r="BL78" s="40"/>
      <c r="BM78" s="40"/>
      <c r="BN78" s="40">
        <v>0</v>
      </c>
      <c r="BP78" s="85">
        <v>56598</v>
      </c>
      <c r="BQ78" s="40"/>
      <c r="BR78" s="40"/>
      <c r="BS78" s="40"/>
      <c r="BT78" s="40"/>
      <c r="BU78" s="40">
        <v>0</v>
      </c>
      <c r="BW78" s="85">
        <v>56598</v>
      </c>
      <c r="BX78" s="40"/>
      <c r="BY78" s="40"/>
      <c r="BZ78" s="40"/>
      <c r="CA78" s="40"/>
      <c r="CB78" s="40">
        <v>0</v>
      </c>
      <c r="CD78" s="85">
        <v>56598</v>
      </c>
      <c r="CE78" s="40"/>
      <c r="CF78" s="40"/>
      <c r="CG78" s="40"/>
      <c r="CH78" s="40">
        <v>0</v>
      </c>
      <c r="CJ78" s="85">
        <v>56598</v>
      </c>
      <c r="CK78" s="40"/>
      <c r="CL78" s="87">
        <v>0</v>
      </c>
      <c r="CM78" s="40"/>
      <c r="CN78" s="40">
        <v>0</v>
      </c>
      <c r="CP78" s="85">
        <v>56598</v>
      </c>
      <c r="CQ78" s="40"/>
      <c r="CR78" s="87"/>
      <c r="CS78" s="40"/>
      <c r="CT78" s="40"/>
      <c r="CU78" s="40">
        <f t="shared" si="40"/>
        <v>0</v>
      </c>
      <c r="CW78" s="85">
        <v>56598</v>
      </c>
      <c r="CY78" s="40"/>
      <c r="CZ78" s="87"/>
      <c r="DB78" s="40">
        <v>0</v>
      </c>
      <c r="DD78" s="85">
        <v>56598</v>
      </c>
      <c r="DE78" s="40"/>
      <c r="DF78" s="87"/>
      <c r="DG78" s="40"/>
      <c r="DH78" s="87"/>
      <c r="DI78" s="40"/>
      <c r="DJ78" s="87"/>
      <c r="DK78" s="40"/>
      <c r="DL78" s="87"/>
      <c r="DM78" s="40"/>
      <c r="DO78" s="40">
        <f t="shared" si="52"/>
        <v>0</v>
      </c>
      <c r="DQ78" s="85">
        <v>56598</v>
      </c>
      <c r="DR78" s="40"/>
      <c r="DS78" s="87"/>
      <c r="DT78" s="40"/>
      <c r="DU78" s="40">
        <f t="shared" si="42"/>
        <v>0</v>
      </c>
      <c r="DW78" s="85">
        <v>56598</v>
      </c>
      <c r="EB78" s="40">
        <f t="shared" si="43"/>
        <v>0</v>
      </c>
      <c r="ED78" s="85">
        <v>56598</v>
      </c>
      <c r="EI78" s="40">
        <f t="shared" si="41"/>
        <v>0</v>
      </c>
      <c r="EJ78" s="85"/>
      <c r="EK78" s="85">
        <v>56598</v>
      </c>
      <c r="EL78" s="151"/>
      <c r="EM78" s="151"/>
      <c r="EN78" s="151"/>
      <c r="EO78" s="151"/>
      <c r="EQ78" s="85">
        <v>56598</v>
      </c>
      <c r="ER78" s="151"/>
      <c r="ES78" s="155"/>
      <c r="ET78" s="40">
        <f t="shared" si="53"/>
        <v>0</v>
      </c>
      <c r="EU78" s="40">
        <f t="shared" si="54"/>
        <v>0</v>
      </c>
      <c r="EW78" s="85">
        <v>56598</v>
      </c>
      <c r="EX78" s="151"/>
      <c r="EY78" s="155"/>
      <c r="EZ78" s="40">
        <f t="shared" si="49"/>
        <v>0</v>
      </c>
      <c r="FA78" s="40">
        <f t="shared" si="55"/>
        <v>0</v>
      </c>
      <c r="FC78" s="85">
        <v>56598</v>
      </c>
      <c r="FD78" s="151"/>
      <c r="FE78" s="151"/>
      <c r="FF78" s="151"/>
      <c r="FG78" s="151"/>
      <c r="FH78" s="40">
        <f t="shared" si="44"/>
        <v>0</v>
      </c>
      <c r="FJ78" s="85">
        <v>56598</v>
      </c>
      <c r="FK78" s="151"/>
      <c r="FL78" s="151"/>
      <c r="FM78" s="151"/>
      <c r="FN78" s="151"/>
      <c r="FO78" s="40">
        <f t="shared" si="45"/>
        <v>0</v>
      </c>
      <c r="FQ78" s="85">
        <v>56598</v>
      </c>
      <c r="FR78" s="151"/>
      <c r="FS78" s="151"/>
      <c r="FT78" s="151"/>
      <c r="FU78" s="151"/>
      <c r="FV78" s="40">
        <f t="shared" si="46"/>
        <v>0</v>
      </c>
      <c r="FX78" s="85">
        <v>56598</v>
      </c>
      <c r="FY78" s="151"/>
      <c r="FZ78" s="151"/>
      <c r="GA78" s="151"/>
      <c r="GB78" s="151"/>
      <c r="GC78" s="40">
        <f t="shared" si="47"/>
        <v>0</v>
      </c>
    </row>
    <row r="79" spans="2:185" x14ac:dyDescent="0.25">
      <c r="B79" s="85">
        <v>56795</v>
      </c>
      <c r="C79" s="85"/>
      <c r="D79" s="85">
        <v>56780</v>
      </c>
      <c r="E79" s="40">
        <f t="shared" si="56"/>
        <v>0</v>
      </c>
      <c r="F79" s="40">
        <f t="shared" si="57"/>
        <v>0</v>
      </c>
      <c r="G79" s="40">
        <f t="shared" si="58"/>
        <v>0</v>
      </c>
      <c r="H79" s="40">
        <v>0</v>
      </c>
      <c r="I79" s="40">
        <f t="shared" si="59"/>
        <v>0</v>
      </c>
      <c r="J79" s="40">
        <f>SUM(I78:I79)</f>
        <v>0</v>
      </c>
      <c r="L79" s="85">
        <v>56780</v>
      </c>
      <c r="M79" s="40"/>
      <c r="N79" s="101"/>
      <c r="O79" s="40">
        <f t="shared" si="60"/>
        <v>0</v>
      </c>
      <c r="P79" s="40"/>
      <c r="Q79" s="40"/>
      <c r="R79" s="40">
        <f t="shared" si="61"/>
        <v>0</v>
      </c>
      <c r="T79" s="85">
        <v>56780</v>
      </c>
      <c r="U79" s="40"/>
      <c r="V79" s="101"/>
      <c r="W79" s="40">
        <f t="shared" si="62"/>
        <v>0</v>
      </c>
      <c r="X79" s="40"/>
      <c r="Y79" s="40"/>
      <c r="Z79" s="40">
        <f t="shared" si="63"/>
        <v>0</v>
      </c>
      <c r="AB79" s="85">
        <v>56780</v>
      </c>
      <c r="AC79" s="40"/>
      <c r="AD79" s="101"/>
      <c r="AE79" s="40">
        <f t="shared" si="64"/>
        <v>0</v>
      </c>
      <c r="AF79" s="40"/>
      <c r="AG79" s="40"/>
      <c r="AH79" s="40">
        <f t="shared" si="65"/>
        <v>0</v>
      </c>
      <c r="AJ79" s="85">
        <v>56780</v>
      </c>
      <c r="AK79" s="40"/>
      <c r="AL79" s="101"/>
      <c r="AM79" s="40">
        <f t="shared" si="66"/>
        <v>0</v>
      </c>
      <c r="AN79" s="40"/>
      <c r="AO79" s="40"/>
      <c r="AP79" s="40">
        <f t="shared" si="67"/>
        <v>0</v>
      </c>
      <c r="AR79" s="85">
        <v>56780</v>
      </c>
      <c r="AS79" s="40"/>
      <c r="AT79" s="101"/>
      <c r="AU79" s="40"/>
      <c r="AV79" s="101"/>
      <c r="AW79" s="40">
        <f t="shared" si="48"/>
        <v>0</v>
      </c>
      <c r="AX79" s="40"/>
      <c r="AY79" s="40"/>
      <c r="AZ79" s="40">
        <f t="shared" si="50"/>
        <v>0</v>
      </c>
      <c r="BB79" s="85">
        <v>56780</v>
      </c>
      <c r="BC79" s="40"/>
      <c r="BD79" s="40"/>
      <c r="BE79" s="40"/>
      <c r="BF79" s="40"/>
      <c r="BG79" s="40">
        <f t="shared" si="51"/>
        <v>0</v>
      </c>
      <c r="BI79" s="85">
        <v>56780</v>
      </c>
      <c r="BJ79" s="40"/>
      <c r="BK79" s="40"/>
      <c r="BL79" s="40"/>
      <c r="BM79" s="40"/>
      <c r="BN79" s="40">
        <v>0</v>
      </c>
      <c r="BP79" s="85">
        <v>56780</v>
      </c>
      <c r="BQ79" s="40"/>
      <c r="BR79" s="40"/>
      <c r="BS79" s="40"/>
      <c r="BT79" s="40"/>
      <c r="BU79" s="40">
        <v>0</v>
      </c>
      <c r="BW79" s="85">
        <v>56780</v>
      </c>
      <c r="BX79" s="40"/>
      <c r="BY79" s="40"/>
      <c r="BZ79" s="40"/>
      <c r="CA79" s="40"/>
      <c r="CB79" s="40">
        <v>0</v>
      </c>
      <c r="CD79" s="85">
        <v>56780</v>
      </c>
      <c r="CE79" s="40"/>
      <c r="CF79" s="40"/>
      <c r="CG79" s="40"/>
      <c r="CH79" s="40">
        <v>0</v>
      </c>
      <c r="CJ79" s="85">
        <v>56780</v>
      </c>
      <c r="CK79" s="40"/>
      <c r="CL79" s="87">
        <v>0</v>
      </c>
      <c r="CM79" s="40"/>
      <c r="CN79" s="40">
        <v>0</v>
      </c>
      <c r="CP79" s="85">
        <v>56780</v>
      </c>
      <c r="CQ79" s="40"/>
      <c r="CR79" s="87"/>
      <c r="CS79" s="40"/>
      <c r="CT79" s="40"/>
      <c r="CU79" s="40">
        <f t="shared" si="40"/>
        <v>0</v>
      </c>
      <c r="CW79" s="85">
        <v>56780</v>
      </c>
      <c r="CY79" s="40"/>
      <c r="CZ79" s="87"/>
      <c r="DB79" s="40">
        <v>0</v>
      </c>
      <c r="DD79" s="85">
        <v>56780</v>
      </c>
      <c r="DE79" s="40"/>
      <c r="DF79" s="87"/>
      <c r="DG79" s="40"/>
      <c r="DH79" s="87"/>
      <c r="DI79" s="40"/>
      <c r="DJ79" s="87"/>
      <c r="DK79" s="40"/>
      <c r="DL79" s="87"/>
      <c r="DM79" s="40"/>
      <c r="DO79" s="40">
        <f t="shared" si="52"/>
        <v>0</v>
      </c>
      <c r="DQ79" s="85">
        <v>56780</v>
      </c>
      <c r="DR79" s="40"/>
      <c r="DS79" s="87"/>
      <c r="DT79" s="40"/>
      <c r="DU79" s="40">
        <f t="shared" si="42"/>
        <v>0</v>
      </c>
      <c r="DW79" s="85">
        <v>56780</v>
      </c>
      <c r="EB79" s="40">
        <f t="shared" si="43"/>
        <v>0</v>
      </c>
      <c r="ED79" s="85">
        <v>56780</v>
      </c>
      <c r="EI79" s="40">
        <f t="shared" si="41"/>
        <v>0</v>
      </c>
      <c r="EJ79" s="85"/>
      <c r="EK79" s="85">
        <v>56780</v>
      </c>
      <c r="EL79" s="151"/>
      <c r="EM79" s="151"/>
      <c r="EN79" s="151"/>
      <c r="EO79" s="151"/>
      <c r="EQ79" s="85">
        <v>56780</v>
      </c>
      <c r="ER79" s="151"/>
      <c r="ES79" s="155"/>
      <c r="ET79" s="40">
        <f t="shared" si="53"/>
        <v>0</v>
      </c>
      <c r="EU79" s="40">
        <f t="shared" si="54"/>
        <v>0</v>
      </c>
      <c r="EW79" s="85">
        <v>56780</v>
      </c>
      <c r="EX79" s="151"/>
      <c r="EY79" s="155"/>
      <c r="EZ79" s="40">
        <f t="shared" si="49"/>
        <v>0</v>
      </c>
      <c r="FA79" s="40">
        <f t="shared" si="55"/>
        <v>0</v>
      </c>
      <c r="FC79" s="85">
        <v>56780</v>
      </c>
      <c r="FD79" s="151"/>
      <c r="FE79" s="151"/>
      <c r="FF79" s="151"/>
      <c r="FG79" s="151"/>
      <c r="FH79" s="40">
        <f t="shared" si="44"/>
        <v>0</v>
      </c>
      <c r="FJ79" s="85">
        <v>56780</v>
      </c>
      <c r="FK79" s="151"/>
      <c r="FL79" s="151"/>
      <c r="FM79" s="151"/>
      <c r="FN79" s="151"/>
      <c r="FO79" s="40">
        <f t="shared" si="45"/>
        <v>0</v>
      </c>
      <c r="FQ79" s="85">
        <v>56780</v>
      </c>
      <c r="FR79" s="151"/>
      <c r="FS79" s="151"/>
      <c r="FT79" s="151"/>
      <c r="FU79" s="151"/>
      <c r="FV79" s="40">
        <f t="shared" si="46"/>
        <v>0</v>
      </c>
      <c r="FX79" s="85">
        <v>56780</v>
      </c>
      <c r="FY79" s="151"/>
      <c r="FZ79" s="151"/>
      <c r="GA79" s="151"/>
      <c r="GB79" s="151"/>
      <c r="GC79" s="40">
        <f t="shared" si="47"/>
        <v>0</v>
      </c>
    </row>
    <row r="80" spans="2:185" x14ac:dyDescent="0.25">
      <c r="B80" s="85">
        <v>56979</v>
      </c>
      <c r="C80" s="85"/>
      <c r="D80" s="85">
        <v>56963</v>
      </c>
      <c r="E80" s="40">
        <f t="shared" si="56"/>
        <v>0</v>
      </c>
      <c r="F80" s="40">
        <f t="shared" si="57"/>
        <v>0</v>
      </c>
      <c r="G80" s="40">
        <f t="shared" si="58"/>
        <v>0</v>
      </c>
      <c r="H80" s="40">
        <v>0</v>
      </c>
      <c r="I80" s="40">
        <f t="shared" si="59"/>
        <v>0</v>
      </c>
      <c r="J80" s="40"/>
      <c r="L80" s="85">
        <v>56963</v>
      </c>
      <c r="M80" s="40"/>
      <c r="N80" s="101"/>
      <c r="O80" s="40">
        <f t="shared" si="60"/>
        <v>0</v>
      </c>
      <c r="P80" s="40"/>
      <c r="Q80" s="40"/>
      <c r="R80" s="40">
        <f t="shared" si="61"/>
        <v>0</v>
      </c>
      <c r="T80" s="85">
        <v>56963</v>
      </c>
      <c r="U80" s="40"/>
      <c r="V80" s="101"/>
      <c r="W80" s="40">
        <f t="shared" si="62"/>
        <v>0</v>
      </c>
      <c r="X80" s="40"/>
      <c r="Y80" s="40"/>
      <c r="Z80" s="40">
        <f t="shared" si="63"/>
        <v>0</v>
      </c>
      <c r="AB80" s="85">
        <v>56963</v>
      </c>
      <c r="AC80" s="40"/>
      <c r="AD80" s="101"/>
      <c r="AE80" s="40">
        <f t="shared" si="64"/>
        <v>0</v>
      </c>
      <c r="AF80" s="40"/>
      <c r="AG80" s="40"/>
      <c r="AH80" s="40">
        <f t="shared" si="65"/>
        <v>0</v>
      </c>
      <c r="AJ80" s="85">
        <v>56963</v>
      </c>
      <c r="AK80" s="40"/>
      <c r="AL80" s="101"/>
      <c r="AM80" s="40">
        <f t="shared" si="66"/>
        <v>0</v>
      </c>
      <c r="AN80" s="40"/>
      <c r="AO80" s="40"/>
      <c r="AP80" s="40">
        <f t="shared" si="67"/>
        <v>0</v>
      </c>
      <c r="AR80" s="85">
        <v>56963</v>
      </c>
      <c r="AS80" s="40"/>
      <c r="AT80" s="101"/>
      <c r="AU80" s="40"/>
      <c r="AV80" s="101"/>
      <c r="AW80" s="40">
        <f t="shared" si="48"/>
        <v>0</v>
      </c>
      <c r="AX80" s="40"/>
      <c r="AY80" s="40"/>
      <c r="AZ80" s="40">
        <f t="shared" si="50"/>
        <v>0</v>
      </c>
      <c r="BB80" s="85">
        <v>56963</v>
      </c>
      <c r="BC80" s="40"/>
      <c r="BD80" s="40"/>
      <c r="BE80" s="40"/>
      <c r="BF80" s="40"/>
      <c r="BG80" s="40">
        <f t="shared" si="51"/>
        <v>0</v>
      </c>
      <c r="BI80" s="85">
        <v>56963</v>
      </c>
      <c r="BJ80" s="40"/>
      <c r="BK80" s="40"/>
      <c r="BL80" s="40"/>
      <c r="BM80" s="40"/>
      <c r="BN80" s="40">
        <v>0</v>
      </c>
      <c r="BP80" s="85">
        <v>56963</v>
      </c>
      <c r="BQ80" s="40"/>
      <c r="BR80" s="40"/>
      <c r="BS80" s="40"/>
      <c r="BT80" s="40"/>
      <c r="BU80" s="40">
        <v>0</v>
      </c>
      <c r="BW80" s="85">
        <v>56963</v>
      </c>
      <c r="BX80" s="40"/>
      <c r="BY80" s="40"/>
      <c r="BZ80" s="40"/>
      <c r="CA80" s="40"/>
      <c r="CB80" s="40">
        <v>0</v>
      </c>
      <c r="CD80" s="85">
        <v>56963</v>
      </c>
      <c r="CE80" s="40"/>
      <c r="CF80" s="40"/>
      <c r="CG80" s="40"/>
      <c r="CH80" s="40">
        <v>0</v>
      </c>
      <c r="CJ80" s="85">
        <v>56963</v>
      </c>
      <c r="CK80" s="40"/>
      <c r="CL80" s="87">
        <v>0</v>
      </c>
      <c r="CM80" s="40"/>
      <c r="CN80" s="40">
        <v>0</v>
      </c>
      <c r="CP80" s="85">
        <v>56963</v>
      </c>
      <c r="CQ80" s="40"/>
      <c r="CR80" s="87"/>
      <c r="CS80" s="40"/>
      <c r="CT80" s="40"/>
      <c r="CU80" s="40">
        <f t="shared" si="40"/>
        <v>0</v>
      </c>
      <c r="CW80" s="85">
        <v>56963</v>
      </c>
      <c r="CY80" s="40"/>
      <c r="CZ80" s="87"/>
      <c r="DB80" s="40">
        <v>0</v>
      </c>
      <c r="DD80" s="85">
        <v>56963</v>
      </c>
      <c r="DE80" s="40"/>
      <c r="DF80" s="87"/>
      <c r="DG80" s="40"/>
      <c r="DH80" s="87"/>
      <c r="DI80" s="40"/>
      <c r="DJ80" s="87"/>
      <c r="DK80" s="40"/>
      <c r="DL80" s="87"/>
      <c r="DM80" s="40"/>
      <c r="DO80" s="40">
        <f t="shared" si="52"/>
        <v>0</v>
      </c>
      <c r="DQ80" s="85">
        <v>56963</v>
      </c>
      <c r="DR80" s="40"/>
      <c r="DS80" s="87"/>
      <c r="DT80" s="40"/>
      <c r="DU80" s="40">
        <f t="shared" si="42"/>
        <v>0</v>
      </c>
      <c r="DW80" s="85">
        <v>56963</v>
      </c>
      <c r="EB80" s="40">
        <f t="shared" si="43"/>
        <v>0</v>
      </c>
      <c r="ED80" s="85">
        <v>56963</v>
      </c>
      <c r="EI80" s="40">
        <f t="shared" si="41"/>
        <v>0</v>
      </c>
      <c r="EJ80" s="85"/>
      <c r="EK80" s="85">
        <v>56963</v>
      </c>
      <c r="EL80" s="151"/>
      <c r="EM80" s="151"/>
      <c r="EN80" s="151"/>
      <c r="EO80" s="151"/>
      <c r="EQ80" s="85">
        <v>56963</v>
      </c>
      <c r="ER80" s="151"/>
      <c r="ES80" s="155"/>
      <c r="ET80" s="40">
        <f t="shared" si="53"/>
        <v>0</v>
      </c>
      <c r="EU80" s="40">
        <f t="shared" si="54"/>
        <v>0</v>
      </c>
      <c r="EW80" s="85">
        <v>56963</v>
      </c>
      <c r="EX80" s="151"/>
      <c r="EY80" s="155"/>
      <c r="EZ80" s="40">
        <f t="shared" si="49"/>
        <v>0</v>
      </c>
      <c r="FA80" s="40">
        <f t="shared" si="55"/>
        <v>0</v>
      </c>
      <c r="FC80" s="85">
        <v>56963</v>
      </c>
      <c r="FD80" s="151"/>
      <c r="FE80" s="151"/>
      <c r="FF80" s="151"/>
      <c r="FG80" s="151"/>
      <c r="FH80" s="40">
        <f t="shared" si="44"/>
        <v>0</v>
      </c>
      <c r="FJ80" s="85">
        <v>56963</v>
      </c>
      <c r="FK80" s="151"/>
      <c r="FL80" s="151"/>
      <c r="FM80" s="151"/>
      <c r="FN80" s="151"/>
      <c r="FO80" s="40">
        <f t="shared" si="45"/>
        <v>0</v>
      </c>
      <c r="FQ80" s="85">
        <v>56963</v>
      </c>
      <c r="FR80" s="151"/>
      <c r="FS80" s="151"/>
      <c r="FT80" s="151"/>
      <c r="FU80" s="151"/>
      <c r="FV80" s="40">
        <f t="shared" si="46"/>
        <v>0</v>
      </c>
      <c r="FX80" s="85">
        <v>56963</v>
      </c>
      <c r="FY80" s="151"/>
      <c r="FZ80" s="151"/>
      <c r="GA80" s="151"/>
      <c r="GB80" s="151"/>
      <c r="GC80" s="40">
        <f t="shared" si="47"/>
        <v>0</v>
      </c>
    </row>
    <row r="81" spans="2:185" x14ac:dyDescent="0.25">
      <c r="B81" s="85">
        <v>57161</v>
      </c>
      <c r="C81" s="85"/>
      <c r="D81" s="85">
        <v>57146</v>
      </c>
      <c r="E81" s="40">
        <f t="shared" si="56"/>
        <v>0</v>
      </c>
      <c r="F81" s="40">
        <f t="shared" si="57"/>
        <v>0</v>
      </c>
      <c r="G81" s="40">
        <f t="shared" si="58"/>
        <v>0</v>
      </c>
      <c r="H81" s="40">
        <v>0</v>
      </c>
      <c r="I81" s="40">
        <f t="shared" si="59"/>
        <v>0</v>
      </c>
      <c r="J81" s="40">
        <f>SUM(I80:I81)</f>
        <v>0</v>
      </c>
      <c r="L81" s="85">
        <v>57146</v>
      </c>
      <c r="M81" s="40"/>
      <c r="N81" s="101"/>
      <c r="O81" s="40">
        <f t="shared" si="60"/>
        <v>0</v>
      </c>
      <c r="P81" s="40"/>
      <c r="Q81" s="40"/>
      <c r="R81" s="40">
        <f t="shared" si="61"/>
        <v>0</v>
      </c>
      <c r="T81" s="85">
        <v>57146</v>
      </c>
      <c r="U81" s="40"/>
      <c r="V81" s="101"/>
      <c r="W81" s="40">
        <f t="shared" si="62"/>
        <v>0</v>
      </c>
      <c r="X81" s="40"/>
      <c r="Y81" s="40"/>
      <c r="Z81" s="40">
        <f t="shared" si="63"/>
        <v>0</v>
      </c>
      <c r="AB81" s="85">
        <v>57146</v>
      </c>
      <c r="AC81" s="40"/>
      <c r="AD81" s="101"/>
      <c r="AE81" s="40">
        <f t="shared" si="64"/>
        <v>0</v>
      </c>
      <c r="AF81" s="40"/>
      <c r="AG81" s="40"/>
      <c r="AH81" s="40">
        <f t="shared" si="65"/>
        <v>0</v>
      </c>
      <c r="AJ81" s="85">
        <v>57146</v>
      </c>
      <c r="AK81" s="40"/>
      <c r="AL81" s="101"/>
      <c r="AM81" s="40">
        <f t="shared" si="66"/>
        <v>0</v>
      </c>
      <c r="AN81" s="40"/>
      <c r="AO81" s="40"/>
      <c r="AP81" s="40">
        <f t="shared" si="67"/>
        <v>0</v>
      </c>
      <c r="AR81" s="85">
        <v>57146</v>
      </c>
      <c r="AS81" s="40"/>
      <c r="AT81" s="101"/>
      <c r="AU81" s="40"/>
      <c r="AV81" s="101"/>
      <c r="AW81" s="40">
        <f t="shared" si="48"/>
        <v>0</v>
      </c>
      <c r="AX81" s="40"/>
      <c r="AY81" s="40"/>
      <c r="AZ81" s="40">
        <f t="shared" si="50"/>
        <v>0</v>
      </c>
      <c r="BB81" s="85">
        <v>57146</v>
      </c>
      <c r="BC81" s="40"/>
      <c r="BD81" s="40"/>
      <c r="BE81" s="40"/>
      <c r="BF81" s="40"/>
      <c r="BG81" s="40">
        <f t="shared" si="51"/>
        <v>0</v>
      </c>
      <c r="BI81" s="85">
        <v>57146</v>
      </c>
      <c r="BJ81" s="40"/>
      <c r="BK81" s="40"/>
      <c r="BL81" s="40"/>
      <c r="BM81" s="40"/>
      <c r="BN81" s="40">
        <v>0</v>
      </c>
      <c r="BP81" s="85">
        <v>57146</v>
      </c>
      <c r="BQ81" s="40"/>
      <c r="BR81" s="40"/>
      <c r="BS81" s="40"/>
      <c r="BT81" s="40"/>
      <c r="BU81" s="40">
        <v>0</v>
      </c>
      <c r="BW81" s="85">
        <v>57146</v>
      </c>
      <c r="BX81" s="40"/>
      <c r="BY81" s="40"/>
      <c r="BZ81" s="40"/>
      <c r="CA81" s="40"/>
      <c r="CB81" s="40">
        <v>0</v>
      </c>
      <c r="CD81" s="85">
        <v>57146</v>
      </c>
      <c r="CE81" s="40"/>
      <c r="CF81" s="40"/>
      <c r="CG81" s="40"/>
      <c r="CH81" s="40">
        <v>0</v>
      </c>
      <c r="CJ81" s="85">
        <v>57146</v>
      </c>
      <c r="CK81" s="40"/>
      <c r="CL81" s="87">
        <v>0</v>
      </c>
      <c r="CM81" s="40"/>
      <c r="CN81" s="40">
        <v>0</v>
      </c>
      <c r="CP81" s="85">
        <v>57146</v>
      </c>
      <c r="CQ81" s="40"/>
      <c r="CR81" s="87"/>
      <c r="CS81" s="40"/>
      <c r="CT81" s="40"/>
      <c r="CU81" s="40">
        <f t="shared" si="40"/>
        <v>0</v>
      </c>
      <c r="CW81" s="85">
        <v>57146</v>
      </c>
      <c r="CY81" s="40"/>
      <c r="CZ81" s="87"/>
      <c r="DB81" s="40">
        <v>0</v>
      </c>
      <c r="DD81" s="85">
        <v>57146</v>
      </c>
      <c r="DE81" s="40"/>
      <c r="DF81" s="87"/>
      <c r="DG81" s="40"/>
      <c r="DH81" s="87"/>
      <c r="DI81" s="40"/>
      <c r="DJ81" s="87"/>
      <c r="DK81" s="40"/>
      <c r="DL81" s="87"/>
      <c r="DM81" s="40"/>
      <c r="DO81" s="40">
        <f t="shared" si="52"/>
        <v>0</v>
      </c>
      <c r="DQ81" s="85">
        <v>57146</v>
      </c>
      <c r="DR81" s="40"/>
      <c r="DS81" s="87"/>
      <c r="DT81" s="40"/>
      <c r="DU81" s="40">
        <f t="shared" si="42"/>
        <v>0</v>
      </c>
      <c r="DW81" s="85">
        <v>57146</v>
      </c>
      <c r="EB81" s="40">
        <f t="shared" si="43"/>
        <v>0</v>
      </c>
      <c r="ED81" s="85">
        <v>57146</v>
      </c>
      <c r="EI81" s="40">
        <f t="shared" si="41"/>
        <v>0</v>
      </c>
      <c r="EJ81" s="85"/>
      <c r="EK81" s="85">
        <v>57146</v>
      </c>
      <c r="EL81" s="151"/>
      <c r="EM81" s="151"/>
      <c r="EN81" s="151"/>
      <c r="EO81" s="151"/>
      <c r="EQ81" s="85">
        <v>57146</v>
      </c>
      <c r="ER81" s="151"/>
      <c r="ES81" s="155"/>
      <c r="ET81" s="40">
        <f t="shared" si="53"/>
        <v>0</v>
      </c>
      <c r="EU81" s="40">
        <f t="shared" si="54"/>
        <v>0</v>
      </c>
      <c r="EW81" s="85">
        <v>57146</v>
      </c>
      <c r="EX81" s="151"/>
      <c r="EY81" s="155"/>
      <c r="EZ81" s="40">
        <f t="shared" si="49"/>
        <v>0</v>
      </c>
      <c r="FA81" s="40">
        <f t="shared" si="55"/>
        <v>0</v>
      </c>
      <c r="FC81" s="85">
        <v>57146</v>
      </c>
      <c r="FD81" s="151"/>
      <c r="FE81" s="151"/>
      <c r="FF81" s="151"/>
      <c r="FG81" s="151"/>
      <c r="FH81" s="40">
        <f t="shared" si="44"/>
        <v>0</v>
      </c>
      <c r="FJ81" s="85">
        <v>57146</v>
      </c>
      <c r="FK81" s="151"/>
      <c r="FL81" s="151"/>
      <c r="FM81" s="151"/>
      <c r="FN81" s="151"/>
      <c r="FO81" s="40">
        <f t="shared" si="45"/>
        <v>0</v>
      </c>
      <c r="FQ81" s="85">
        <v>57146</v>
      </c>
      <c r="FR81" s="151"/>
      <c r="FS81" s="151"/>
      <c r="FT81" s="151"/>
      <c r="FU81" s="151"/>
      <c r="FV81" s="40">
        <f t="shared" si="46"/>
        <v>0</v>
      </c>
      <c r="FX81" s="85">
        <v>57146</v>
      </c>
      <c r="FY81" s="151"/>
      <c r="FZ81" s="151"/>
      <c r="GA81" s="151"/>
      <c r="GB81" s="151"/>
      <c r="GC81" s="40">
        <f t="shared" si="47"/>
        <v>0</v>
      </c>
    </row>
    <row r="82" spans="2:185" x14ac:dyDescent="0.25">
      <c r="B82" s="85">
        <v>57345</v>
      </c>
      <c r="C82" s="85"/>
      <c r="D82" s="85">
        <v>57329</v>
      </c>
      <c r="E82" s="40">
        <f t="shared" si="56"/>
        <v>0</v>
      </c>
      <c r="F82" s="40">
        <f t="shared" si="57"/>
        <v>0</v>
      </c>
      <c r="G82" s="40">
        <f t="shared" si="58"/>
        <v>0</v>
      </c>
      <c r="H82" s="40">
        <v>0</v>
      </c>
      <c r="I82" s="40">
        <f t="shared" si="59"/>
        <v>0</v>
      </c>
      <c r="J82" s="40"/>
      <c r="L82" s="85">
        <v>57329</v>
      </c>
      <c r="M82" s="40"/>
      <c r="N82" s="101"/>
      <c r="O82" s="40">
        <f t="shared" si="60"/>
        <v>0</v>
      </c>
      <c r="P82" s="40"/>
      <c r="Q82" s="40"/>
      <c r="R82" s="40">
        <f t="shared" si="61"/>
        <v>0</v>
      </c>
      <c r="T82" s="85">
        <v>57329</v>
      </c>
      <c r="U82" s="40"/>
      <c r="V82" s="101"/>
      <c r="W82" s="40">
        <f t="shared" si="62"/>
        <v>0</v>
      </c>
      <c r="X82" s="40"/>
      <c r="Y82" s="40"/>
      <c r="Z82" s="40">
        <f t="shared" si="63"/>
        <v>0</v>
      </c>
      <c r="AB82" s="85">
        <v>57329</v>
      </c>
      <c r="AC82" s="40"/>
      <c r="AD82" s="101"/>
      <c r="AE82" s="40">
        <f t="shared" si="64"/>
        <v>0</v>
      </c>
      <c r="AF82" s="40"/>
      <c r="AG82" s="40"/>
      <c r="AH82" s="40">
        <f t="shared" si="65"/>
        <v>0</v>
      </c>
      <c r="AJ82" s="85">
        <v>57329</v>
      </c>
      <c r="AK82" s="40"/>
      <c r="AL82" s="101"/>
      <c r="AM82" s="40">
        <f t="shared" si="66"/>
        <v>0</v>
      </c>
      <c r="AN82" s="40"/>
      <c r="AO82" s="40"/>
      <c r="AP82" s="40">
        <f t="shared" si="67"/>
        <v>0</v>
      </c>
      <c r="AR82" s="85">
        <v>57329</v>
      </c>
      <c r="AS82" s="40"/>
      <c r="AT82" s="101"/>
      <c r="AU82" s="40"/>
      <c r="AV82" s="101"/>
      <c r="AW82" s="40">
        <f t="shared" si="48"/>
        <v>0</v>
      </c>
      <c r="AX82" s="40"/>
      <c r="AY82" s="40"/>
      <c r="AZ82" s="40">
        <f t="shared" si="50"/>
        <v>0</v>
      </c>
      <c r="BB82" s="85">
        <v>57329</v>
      </c>
      <c r="BC82" s="40"/>
      <c r="BD82" s="40"/>
      <c r="BE82" s="40"/>
      <c r="BF82" s="40"/>
      <c r="BG82" s="40">
        <f t="shared" si="51"/>
        <v>0</v>
      </c>
      <c r="BI82" s="85">
        <v>57329</v>
      </c>
      <c r="BJ82" s="40"/>
      <c r="BK82" s="40"/>
      <c r="BL82" s="40"/>
      <c r="BM82" s="40"/>
      <c r="BN82" s="40">
        <v>0</v>
      </c>
      <c r="BP82" s="85">
        <v>57329</v>
      </c>
      <c r="BQ82" s="40"/>
      <c r="BR82" s="40"/>
      <c r="BS82" s="40"/>
      <c r="BT82" s="40"/>
      <c r="BU82" s="40">
        <v>0</v>
      </c>
      <c r="BW82" s="85">
        <v>57329</v>
      </c>
      <c r="BX82" s="40"/>
      <c r="BY82" s="40"/>
      <c r="BZ82" s="40"/>
      <c r="CA82" s="40"/>
      <c r="CB82" s="40">
        <v>0</v>
      </c>
      <c r="CD82" s="85">
        <v>57329</v>
      </c>
      <c r="CE82" s="40"/>
      <c r="CF82" s="40"/>
      <c r="CG82" s="40"/>
      <c r="CH82" s="40">
        <v>0</v>
      </c>
      <c r="CJ82" s="85">
        <v>57329</v>
      </c>
      <c r="CK82" s="40"/>
      <c r="CL82" s="87">
        <v>0</v>
      </c>
      <c r="CM82" s="40"/>
      <c r="CN82" s="40">
        <v>0</v>
      </c>
      <c r="CP82" s="85">
        <v>57329</v>
      </c>
      <c r="CQ82" s="40"/>
      <c r="CR82" s="87"/>
      <c r="CS82" s="40"/>
      <c r="CT82" s="40"/>
      <c r="CU82" s="40">
        <f t="shared" si="40"/>
        <v>0</v>
      </c>
      <c r="CW82" s="85">
        <v>57329</v>
      </c>
      <c r="CY82" s="40"/>
      <c r="CZ82" s="87"/>
      <c r="DB82" s="40">
        <v>0</v>
      </c>
      <c r="DD82" s="85">
        <v>57329</v>
      </c>
      <c r="DE82" s="40"/>
      <c r="DF82" s="87"/>
      <c r="DG82" s="40"/>
      <c r="DH82" s="87"/>
      <c r="DI82" s="40"/>
      <c r="DJ82" s="87"/>
      <c r="DK82" s="40"/>
      <c r="DL82" s="87"/>
      <c r="DM82" s="40"/>
      <c r="DO82" s="40">
        <f t="shared" si="52"/>
        <v>0</v>
      </c>
      <c r="DQ82" s="85">
        <v>57329</v>
      </c>
      <c r="DR82" s="40"/>
      <c r="DS82" s="87"/>
      <c r="DT82" s="40"/>
      <c r="DU82" s="40">
        <f t="shared" si="42"/>
        <v>0</v>
      </c>
      <c r="DW82" s="85">
        <v>57329</v>
      </c>
      <c r="EB82" s="40">
        <f t="shared" si="43"/>
        <v>0</v>
      </c>
      <c r="ED82" s="85">
        <v>57329</v>
      </c>
      <c r="EI82" s="40">
        <f t="shared" si="41"/>
        <v>0</v>
      </c>
      <c r="EJ82" s="85"/>
      <c r="EK82" s="85">
        <v>57329</v>
      </c>
      <c r="EL82" s="151"/>
      <c r="EM82" s="151"/>
      <c r="EN82" s="151"/>
      <c r="EO82" s="151"/>
      <c r="EQ82" s="85">
        <v>57329</v>
      </c>
      <c r="ER82" s="151"/>
      <c r="ES82" s="155"/>
      <c r="ET82" s="40">
        <f t="shared" si="53"/>
        <v>0</v>
      </c>
      <c r="EU82" s="40">
        <f t="shared" si="54"/>
        <v>0</v>
      </c>
      <c r="EW82" s="85">
        <v>57329</v>
      </c>
      <c r="EX82" s="151"/>
      <c r="EY82" s="155"/>
      <c r="EZ82" s="40">
        <f t="shared" si="49"/>
        <v>0</v>
      </c>
      <c r="FA82" s="40">
        <f t="shared" si="55"/>
        <v>0</v>
      </c>
      <c r="FC82" s="85">
        <v>57329</v>
      </c>
      <c r="FD82" s="151"/>
      <c r="FE82" s="151"/>
      <c r="FF82" s="151"/>
      <c r="FG82" s="151"/>
      <c r="FH82" s="40">
        <f t="shared" si="44"/>
        <v>0</v>
      </c>
      <c r="FJ82" s="85">
        <v>57329</v>
      </c>
      <c r="FK82" s="151"/>
      <c r="FL82" s="151"/>
      <c r="FM82" s="151"/>
      <c r="FN82" s="151"/>
      <c r="FO82" s="40">
        <f t="shared" si="45"/>
        <v>0</v>
      </c>
      <c r="FQ82" s="85">
        <v>57329</v>
      </c>
      <c r="FR82" s="151"/>
      <c r="FS82" s="151"/>
      <c r="FT82" s="151"/>
      <c r="FU82" s="151"/>
      <c r="FV82" s="40">
        <f t="shared" si="46"/>
        <v>0</v>
      </c>
      <c r="FX82" s="85">
        <v>57329</v>
      </c>
      <c r="FY82" s="151"/>
      <c r="FZ82" s="151"/>
      <c r="GA82" s="151"/>
      <c r="GB82" s="151"/>
      <c r="GC82" s="40">
        <f t="shared" si="47"/>
        <v>0</v>
      </c>
    </row>
    <row r="83" spans="2:185" x14ac:dyDescent="0.25">
      <c r="B83" s="85">
        <v>57526</v>
      </c>
      <c r="C83" s="85"/>
      <c r="D83" s="85">
        <v>57511</v>
      </c>
      <c r="E83" s="40">
        <f t="shared" si="56"/>
        <v>0</v>
      </c>
      <c r="F83" s="40">
        <f t="shared" si="57"/>
        <v>0</v>
      </c>
      <c r="G83" s="40">
        <f t="shared" si="58"/>
        <v>0</v>
      </c>
      <c r="H83" s="40">
        <v>0</v>
      </c>
      <c r="I83" s="40">
        <f t="shared" si="59"/>
        <v>0</v>
      </c>
      <c r="J83" s="40">
        <f>SUM(I82:I83)</f>
        <v>0</v>
      </c>
      <c r="L83" s="85">
        <v>57511</v>
      </c>
      <c r="M83" s="40"/>
      <c r="N83" s="101"/>
      <c r="O83" s="40">
        <f t="shared" si="60"/>
        <v>0</v>
      </c>
      <c r="P83" s="40"/>
      <c r="Q83" s="40"/>
      <c r="R83" s="40">
        <f t="shared" si="61"/>
        <v>0</v>
      </c>
      <c r="T83" s="85">
        <v>57511</v>
      </c>
      <c r="U83" s="40"/>
      <c r="V83" s="101"/>
      <c r="W83" s="40">
        <f t="shared" si="62"/>
        <v>0</v>
      </c>
      <c r="X83" s="40"/>
      <c r="Y83" s="40"/>
      <c r="Z83" s="40">
        <f t="shared" si="63"/>
        <v>0</v>
      </c>
      <c r="AB83" s="85">
        <v>57511</v>
      </c>
      <c r="AC83" s="40"/>
      <c r="AD83" s="101"/>
      <c r="AE83" s="40">
        <f t="shared" si="64"/>
        <v>0</v>
      </c>
      <c r="AF83" s="40"/>
      <c r="AG83" s="40"/>
      <c r="AH83" s="40">
        <f t="shared" si="65"/>
        <v>0</v>
      </c>
      <c r="AJ83" s="85">
        <v>57511</v>
      </c>
      <c r="AK83" s="40"/>
      <c r="AL83" s="101"/>
      <c r="AM83" s="40">
        <f t="shared" si="66"/>
        <v>0</v>
      </c>
      <c r="AN83" s="40"/>
      <c r="AO83" s="40"/>
      <c r="AP83" s="40">
        <f t="shared" si="67"/>
        <v>0</v>
      </c>
      <c r="AR83" s="85">
        <v>57511</v>
      </c>
      <c r="AS83" s="40"/>
      <c r="AT83" s="101"/>
      <c r="AU83" s="40"/>
      <c r="AV83" s="101"/>
      <c r="AW83" s="40">
        <f t="shared" si="48"/>
        <v>0</v>
      </c>
      <c r="AX83" s="40"/>
      <c r="AY83" s="40"/>
      <c r="AZ83" s="40">
        <f t="shared" si="50"/>
        <v>0</v>
      </c>
      <c r="BB83" s="85">
        <v>57511</v>
      </c>
      <c r="BC83" s="40"/>
      <c r="BD83" s="40"/>
      <c r="BE83" s="40"/>
      <c r="BF83" s="40"/>
      <c r="BG83" s="40">
        <f t="shared" si="51"/>
        <v>0</v>
      </c>
      <c r="BI83" s="85">
        <v>57511</v>
      </c>
      <c r="BJ83" s="40"/>
      <c r="BK83" s="40"/>
      <c r="BL83" s="40"/>
      <c r="BM83" s="40"/>
      <c r="BN83" s="40">
        <v>0</v>
      </c>
      <c r="BP83" s="85">
        <v>57511</v>
      </c>
      <c r="BQ83" s="40"/>
      <c r="BR83" s="40"/>
      <c r="BS83" s="40"/>
      <c r="BT83" s="40"/>
      <c r="BU83" s="40">
        <v>0</v>
      </c>
      <c r="BW83" s="85">
        <v>57511</v>
      </c>
      <c r="BX83" s="40"/>
      <c r="BY83" s="40"/>
      <c r="BZ83" s="40"/>
      <c r="CA83" s="40"/>
      <c r="CB83" s="40">
        <v>0</v>
      </c>
      <c r="CD83" s="85">
        <v>57511</v>
      </c>
      <c r="CE83" s="40"/>
      <c r="CF83" s="40"/>
      <c r="CG83" s="40"/>
      <c r="CH83" s="40">
        <v>0</v>
      </c>
      <c r="CJ83" s="85">
        <v>57511</v>
      </c>
      <c r="CK83" s="40"/>
      <c r="CL83" s="87">
        <v>0</v>
      </c>
      <c r="CM83" s="40"/>
      <c r="CN83" s="40">
        <v>0</v>
      </c>
      <c r="CP83" s="85">
        <v>57511</v>
      </c>
      <c r="CQ83" s="40"/>
      <c r="CR83" s="87"/>
      <c r="CS83" s="40"/>
      <c r="CT83" s="40"/>
      <c r="CU83" s="40">
        <f t="shared" si="40"/>
        <v>0</v>
      </c>
      <c r="CW83" s="85">
        <v>57511</v>
      </c>
      <c r="CY83" s="40"/>
      <c r="CZ83" s="87"/>
      <c r="DB83" s="40">
        <v>0</v>
      </c>
      <c r="DD83" s="85">
        <v>57511</v>
      </c>
      <c r="DE83" s="40"/>
      <c r="DF83" s="87"/>
      <c r="DG83" s="40"/>
      <c r="DH83" s="87"/>
      <c r="DI83" s="40"/>
      <c r="DJ83" s="87"/>
      <c r="DK83" s="40"/>
      <c r="DL83" s="87"/>
      <c r="DM83" s="40"/>
      <c r="DO83" s="40">
        <f t="shared" si="52"/>
        <v>0</v>
      </c>
      <c r="DQ83" s="85">
        <v>57511</v>
      </c>
      <c r="DR83" s="40"/>
      <c r="DS83" s="87"/>
      <c r="DT83" s="40"/>
      <c r="DU83" s="40">
        <f t="shared" si="42"/>
        <v>0</v>
      </c>
      <c r="DW83" s="85">
        <v>57511</v>
      </c>
      <c r="EB83" s="40">
        <f t="shared" si="43"/>
        <v>0</v>
      </c>
      <c r="ED83" s="85">
        <v>57511</v>
      </c>
      <c r="EI83" s="40">
        <f t="shared" si="41"/>
        <v>0</v>
      </c>
      <c r="EJ83" s="85"/>
      <c r="EK83" s="85">
        <v>57511</v>
      </c>
      <c r="EL83" s="151"/>
      <c r="EM83" s="151"/>
      <c r="EN83" s="151"/>
      <c r="EO83" s="151"/>
      <c r="EQ83" s="85">
        <v>57511</v>
      </c>
      <c r="ER83" s="151"/>
      <c r="ES83" s="155"/>
      <c r="ET83" s="40">
        <f t="shared" si="53"/>
        <v>0</v>
      </c>
      <c r="EU83" s="40">
        <f t="shared" si="54"/>
        <v>0</v>
      </c>
      <c r="EW83" s="85">
        <v>57511</v>
      </c>
      <c r="EX83" s="151"/>
      <c r="EY83" s="155"/>
      <c r="EZ83" s="40">
        <f t="shared" si="49"/>
        <v>0</v>
      </c>
      <c r="FA83" s="40">
        <f t="shared" si="55"/>
        <v>0</v>
      </c>
      <c r="FC83" s="85">
        <v>57511</v>
      </c>
      <c r="FD83" s="151"/>
      <c r="FE83" s="151"/>
      <c r="FF83" s="151"/>
      <c r="FG83" s="151"/>
      <c r="FH83" s="40">
        <f t="shared" si="44"/>
        <v>0</v>
      </c>
      <c r="FJ83" s="85">
        <v>57511</v>
      </c>
      <c r="FK83" s="151"/>
      <c r="FL83" s="151"/>
      <c r="FM83" s="151"/>
      <c r="FN83" s="151"/>
      <c r="FO83" s="40">
        <f t="shared" si="45"/>
        <v>0</v>
      </c>
      <c r="FQ83" s="85">
        <v>57511</v>
      </c>
      <c r="FR83" s="151"/>
      <c r="FS83" s="151"/>
      <c r="FT83" s="151"/>
      <c r="FU83" s="151"/>
      <c r="FV83" s="40">
        <f t="shared" si="46"/>
        <v>0</v>
      </c>
      <c r="FX83" s="85">
        <v>57511</v>
      </c>
      <c r="FY83" s="151"/>
      <c r="FZ83" s="151"/>
      <c r="GA83" s="151"/>
      <c r="GB83" s="151"/>
      <c r="GC83" s="40">
        <f t="shared" si="47"/>
        <v>0</v>
      </c>
    </row>
    <row r="84" spans="2:185" x14ac:dyDescent="0.25">
      <c r="B84" s="85">
        <v>57710</v>
      </c>
      <c r="C84" s="85"/>
      <c r="D84" s="85">
        <v>57694</v>
      </c>
      <c r="E84" s="40">
        <f t="shared" si="56"/>
        <v>0</v>
      </c>
      <c r="F84" s="40">
        <f t="shared" si="57"/>
        <v>0</v>
      </c>
      <c r="G84" s="40">
        <f t="shared" si="58"/>
        <v>0</v>
      </c>
      <c r="H84" s="40">
        <v>0</v>
      </c>
      <c r="I84" s="40">
        <f t="shared" si="59"/>
        <v>0</v>
      </c>
      <c r="J84" s="40"/>
      <c r="L84" s="85">
        <v>57694</v>
      </c>
      <c r="M84" s="40"/>
      <c r="N84" s="101"/>
      <c r="O84" s="40">
        <f t="shared" si="60"/>
        <v>0</v>
      </c>
      <c r="P84" s="40"/>
      <c r="Q84" s="40"/>
      <c r="R84" s="40">
        <f t="shared" si="61"/>
        <v>0</v>
      </c>
      <c r="T84" s="85">
        <v>57694</v>
      </c>
      <c r="U84" s="40"/>
      <c r="V84" s="101"/>
      <c r="W84" s="40">
        <f t="shared" si="62"/>
        <v>0</v>
      </c>
      <c r="X84" s="40"/>
      <c r="Y84" s="40"/>
      <c r="Z84" s="40">
        <f t="shared" si="63"/>
        <v>0</v>
      </c>
      <c r="AB84" s="85">
        <v>57694</v>
      </c>
      <c r="AC84" s="40"/>
      <c r="AD84" s="101"/>
      <c r="AE84" s="40">
        <f t="shared" si="64"/>
        <v>0</v>
      </c>
      <c r="AF84" s="40"/>
      <c r="AG84" s="40"/>
      <c r="AH84" s="40">
        <f t="shared" si="65"/>
        <v>0</v>
      </c>
      <c r="AJ84" s="85">
        <v>57694</v>
      </c>
      <c r="AK84" s="40"/>
      <c r="AL84" s="101"/>
      <c r="AM84" s="40">
        <f t="shared" si="66"/>
        <v>0</v>
      </c>
      <c r="AN84" s="40"/>
      <c r="AO84" s="40"/>
      <c r="AP84" s="40">
        <f t="shared" si="67"/>
        <v>0</v>
      </c>
      <c r="AR84" s="85">
        <v>57694</v>
      </c>
      <c r="AS84" s="40"/>
      <c r="AT84" s="101"/>
      <c r="AU84" s="40"/>
      <c r="AV84" s="101"/>
      <c r="AW84" s="40">
        <f t="shared" si="48"/>
        <v>0</v>
      </c>
      <c r="AX84" s="40"/>
      <c r="AY84" s="40"/>
      <c r="AZ84" s="40">
        <f t="shared" si="50"/>
        <v>0</v>
      </c>
      <c r="BB84" s="85">
        <v>57694</v>
      </c>
      <c r="BC84" s="40"/>
      <c r="BD84" s="40"/>
      <c r="BE84" s="40"/>
      <c r="BF84" s="40"/>
      <c r="BG84" s="40">
        <f t="shared" si="51"/>
        <v>0</v>
      </c>
      <c r="BI84" s="85">
        <v>57694</v>
      </c>
      <c r="BJ84" s="40"/>
      <c r="BK84" s="40"/>
      <c r="BL84" s="40"/>
      <c r="BM84" s="40"/>
      <c r="BN84" s="40">
        <v>0</v>
      </c>
      <c r="BP84" s="85">
        <v>57694</v>
      </c>
      <c r="BQ84" s="40"/>
      <c r="BR84" s="40"/>
      <c r="BS84" s="40"/>
      <c r="BT84" s="40"/>
      <c r="BU84" s="40">
        <v>0</v>
      </c>
      <c r="BW84" s="85">
        <v>57694</v>
      </c>
      <c r="BX84" s="40"/>
      <c r="BY84" s="40"/>
      <c r="BZ84" s="40"/>
      <c r="CA84" s="40"/>
      <c r="CB84" s="40">
        <v>0</v>
      </c>
      <c r="CD84" s="85">
        <v>57694</v>
      </c>
      <c r="CE84" s="40"/>
      <c r="CF84" s="40"/>
      <c r="CG84" s="40"/>
      <c r="CH84" s="40">
        <v>0</v>
      </c>
      <c r="CJ84" s="85">
        <v>57694</v>
      </c>
      <c r="CK84" s="40"/>
      <c r="CL84" s="87">
        <v>0</v>
      </c>
      <c r="CM84" s="40"/>
      <c r="CN84" s="40">
        <v>0</v>
      </c>
      <c r="CP84" s="85">
        <v>57694</v>
      </c>
      <c r="CQ84" s="40"/>
      <c r="CR84" s="87"/>
      <c r="CS84" s="40"/>
      <c r="CT84" s="40"/>
      <c r="CU84" s="40">
        <f t="shared" si="40"/>
        <v>0</v>
      </c>
      <c r="CW84" s="85">
        <v>57694</v>
      </c>
      <c r="CY84" s="40"/>
      <c r="CZ84" s="87"/>
      <c r="DB84" s="40">
        <v>0</v>
      </c>
      <c r="DD84" s="85">
        <v>57694</v>
      </c>
      <c r="DE84" s="40"/>
      <c r="DF84" s="87"/>
      <c r="DG84" s="40"/>
      <c r="DH84" s="87"/>
      <c r="DI84" s="40"/>
      <c r="DJ84" s="87"/>
      <c r="DK84" s="40"/>
      <c r="DL84" s="87"/>
      <c r="DM84" s="40"/>
      <c r="DO84" s="40">
        <f t="shared" si="52"/>
        <v>0</v>
      </c>
      <c r="DQ84" s="85">
        <v>57694</v>
      </c>
      <c r="DR84" s="40"/>
      <c r="DS84" s="87"/>
      <c r="DT84" s="40"/>
      <c r="DU84" s="40">
        <f t="shared" si="42"/>
        <v>0</v>
      </c>
      <c r="DW84" s="85">
        <v>57694</v>
      </c>
      <c r="EB84" s="40">
        <f t="shared" si="43"/>
        <v>0</v>
      </c>
      <c r="ED84" s="85">
        <v>57694</v>
      </c>
      <c r="EI84" s="40">
        <f t="shared" si="41"/>
        <v>0</v>
      </c>
      <c r="EJ84" s="85"/>
      <c r="EK84" s="85">
        <v>57694</v>
      </c>
      <c r="EL84" s="151"/>
      <c r="EM84" s="151"/>
      <c r="EN84" s="151"/>
      <c r="EO84" s="151"/>
      <c r="EQ84" s="85">
        <v>57694</v>
      </c>
      <c r="ER84" s="151"/>
      <c r="ES84" s="155"/>
      <c r="ET84" s="40">
        <f t="shared" si="53"/>
        <v>0</v>
      </c>
      <c r="EU84" s="40">
        <f t="shared" si="54"/>
        <v>0</v>
      </c>
      <c r="EW84" s="85">
        <v>57694</v>
      </c>
      <c r="EX84" s="151"/>
      <c r="EY84" s="155"/>
      <c r="EZ84" s="40">
        <f t="shared" si="49"/>
        <v>0</v>
      </c>
      <c r="FA84" s="40">
        <f t="shared" si="55"/>
        <v>0</v>
      </c>
      <c r="FC84" s="85">
        <v>57694</v>
      </c>
      <c r="FD84" s="151"/>
      <c r="FE84" s="151"/>
      <c r="FF84" s="151"/>
      <c r="FG84" s="151"/>
      <c r="FH84" s="40">
        <f t="shared" si="44"/>
        <v>0</v>
      </c>
      <c r="FJ84" s="85">
        <v>57694</v>
      </c>
      <c r="FK84" s="151"/>
      <c r="FL84" s="151"/>
      <c r="FM84" s="151"/>
      <c r="FN84" s="151"/>
      <c r="FO84" s="40">
        <f t="shared" si="45"/>
        <v>0</v>
      </c>
      <c r="FQ84" s="85">
        <v>57694</v>
      </c>
      <c r="FR84" s="151"/>
      <c r="FS84" s="151"/>
      <c r="FT84" s="151"/>
      <c r="FU84" s="151"/>
      <c r="FV84" s="40">
        <f t="shared" si="46"/>
        <v>0</v>
      </c>
      <c r="FX84" s="85">
        <v>57694</v>
      </c>
      <c r="FY84" s="151"/>
      <c r="FZ84" s="151"/>
      <c r="GA84" s="151"/>
      <c r="GB84" s="151"/>
      <c r="GC84" s="40">
        <f t="shared" si="47"/>
        <v>0</v>
      </c>
    </row>
    <row r="85" spans="2:185" x14ac:dyDescent="0.25">
      <c r="B85" s="85">
        <v>57891</v>
      </c>
      <c r="C85" s="85"/>
      <c r="D85" s="85">
        <v>57876</v>
      </c>
      <c r="E85" s="40">
        <f t="shared" si="56"/>
        <v>0</v>
      </c>
      <c r="F85" s="40">
        <f t="shared" si="57"/>
        <v>0</v>
      </c>
      <c r="G85" s="40">
        <f t="shared" si="58"/>
        <v>0</v>
      </c>
      <c r="H85" s="40">
        <v>0</v>
      </c>
      <c r="I85" s="40">
        <f t="shared" si="59"/>
        <v>0</v>
      </c>
      <c r="J85" s="40">
        <f>SUM(I84:I85)</f>
        <v>0</v>
      </c>
      <c r="L85" s="85">
        <v>57876</v>
      </c>
      <c r="M85" s="40"/>
      <c r="N85" s="101"/>
      <c r="O85" s="40">
        <f t="shared" si="60"/>
        <v>0</v>
      </c>
      <c r="P85" s="40"/>
      <c r="Q85" s="40"/>
      <c r="R85" s="40">
        <f t="shared" si="61"/>
        <v>0</v>
      </c>
      <c r="T85" s="85">
        <v>57876</v>
      </c>
      <c r="U85" s="40"/>
      <c r="V85" s="101"/>
      <c r="W85" s="40">
        <f t="shared" si="62"/>
        <v>0</v>
      </c>
      <c r="X85" s="40"/>
      <c r="Y85" s="40"/>
      <c r="Z85" s="40">
        <f t="shared" si="63"/>
        <v>0</v>
      </c>
      <c r="AB85" s="85">
        <v>57876</v>
      </c>
      <c r="AC85" s="40"/>
      <c r="AD85" s="101"/>
      <c r="AE85" s="40">
        <f t="shared" si="64"/>
        <v>0</v>
      </c>
      <c r="AF85" s="40"/>
      <c r="AG85" s="40"/>
      <c r="AH85" s="40">
        <f t="shared" si="65"/>
        <v>0</v>
      </c>
      <c r="AJ85" s="85">
        <v>57876</v>
      </c>
      <c r="AK85" s="40"/>
      <c r="AL85" s="101"/>
      <c r="AM85" s="40">
        <f t="shared" si="66"/>
        <v>0</v>
      </c>
      <c r="AN85" s="40"/>
      <c r="AO85" s="40"/>
      <c r="AP85" s="40">
        <f t="shared" si="67"/>
        <v>0</v>
      </c>
      <c r="AR85" s="85">
        <v>57876</v>
      </c>
      <c r="AS85" s="40"/>
      <c r="AT85" s="101"/>
      <c r="AU85" s="40"/>
      <c r="AV85" s="101"/>
      <c r="AW85" s="40">
        <f t="shared" si="48"/>
        <v>0</v>
      </c>
      <c r="AX85" s="40"/>
      <c r="AY85" s="40"/>
      <c r="AZ85" s="40">
        <f t="shared" si="50"/>
        <v>0</v>
      </c>
      <c r="BB85" s="85">
        <v>57876</v>
      </c>
      <c r="BC85" s="40"/>
      <c r="BD85" s="40"/>
      <c r="BE85" s="40"/>
      <c r="BF85" s="40"/>
      <c r="BG85" s="40">
        <f t="shared" si="51"/>
        <v>0</v>
      </c>
      <c r="BI85" s="85">
        <v>57876</v>
      </c>
      <c r="BJ85" s="40"/>
      <c r="BK85" s="40"/>
      <c r="BL85" s="40"/>
      <c r="BM85" s="40"/>
      <c r="BN85" s="40">
        <v>0</v>
      </c>
      <c r="BP85" s="85">
        <v>57876</v>
      </c>
      <c r="BQ85" s="40"/>
      <c r="BR85" s="40"/>
      <c r="BS85" s="40"/>
      <c r="BT85" s="40"/>
      <c r="BU85" s="40">
        <v>0</v>
      </c>
      <c r="BW85" s="85">
        <v>57876</v>
      </c>
      <c r="BX85" s="40"/>
      <c r="BY85" s="40"/>
      <c r="BZ85" s="40"/>
      <c r="CA85" s="40"/>
      <c r="CB85" s="40">
        <v>0</v>
      </c>
      <c r="CD85" s="85">
        <v>57876</v>
      </c>
      <c r="CE85" s="40"/>
      <c r="CF85" s="40"/>
      <c r="CG85" s="40"/>
      <c r="CH85" s="40">
        <v>0</v>
      </c>
      <c r="CJ85" s="85">
        <v>57876</v>
      </c>
      <c r="CK85" s="40"/>
      <c r="CL85" s="87">
        <v>0</v>
      </c>
      <c r="CM85" s="40"/>
      <c r="CN85" s="40">
        <v>0</v>
      </c>
      <c r="CP85" s="85">
        <v>57876</v>
      </c>
      <c r="CQ85" s="40"/>
      <c r="CR85" s="87"/>
      <c r="CS85" s="40"/>
      <c r="CT85" s="40"/>
      <c r="CU85" s="40">
        <f t="shared" si="40"/>
        <v>0</v>
      </c>
      <c r="CW85" s="85">
        <v>57876</v>
      </c>
      <c r="CY85" s="40"/>
      <c r="CZ85" s="87"/>
      <c r="DB85" s="40">
        <v>0</v>
      </c>
      <c r="DD85" s="85">
        <v>57876</v>
      </c>
      <c r="DE85" s="40"/>
      <c r="DF85" s="87"/>
      <c r="DG85" s="40"/>
      <c r="DH85" s="87"/>
      <c r="DI85" s="40"/>
      <c r="DJ85" s="87"/>
      <c r="DK85" s="40"/>
      <c r="DL85" s="87"/>
      <c r="DM85" s="40"/>
      <c r="DO85" s="40">
        <f t="shared" si="52"/>
        <v>0</v>
      </c>
      <c r="DQ85" s="85">
        <v>57876</v>
      </c>
      <c r="DR85" s="40"/>
      <c r="DS85" s="87"/>
      <c r="DT85" s="40"/>
      <c r="DU85" s="40">
        <f t="shared" si="42"/>
        <v>0</v>
      </c>
      <c r="DW85" s="85">
        <v>57876</v>
      </c>
      <c r="EB85" s="40">
        <f t="shared" si="43"/>
        <v>0</v>
      </c>
      <c r="ED85" s="85">
        <v>57876</v>
      </c>
      <c r="EI85" s="40">
        <f t="shared" si="41"/>
        <v>0</v>
      </c>
      <c r="EJ85" s="85"/>
      <c r="EK85" s="85">
        <v>57876</v>
      </c>
      <c r="EL85" s="151"/>
      <c r="EM85" s="151"/>
      <c r="EN85" s="151"/>
      <c r="EO85" s="151"/>
      <c r="EQ85" s="85">
        <v>57876</v>
      </c>
      <c r="ER85" s="151"/>
      <c r="ES85" s="155"/>
      <c r="ET85" s="40">
        <f t="shared" si="53"/>
        <v>0</v>
      </c>
      <c r="EU85" s="40">
        <f t="shared" si="54"/>
        <v>0</v>
      </c>
      <c r="EW85" s="85">
        <v>57876</v>
      </c>
      <c r="EX85" s="151"/>
      <c r="EY85" s="155"/>
      <c r="EZ85" s="40">
        <f t="shared" si="49"/>
        <v>0</v>
      </c>
      <c r="FA85" s="40">
        <f t="shared" si="55"/>
        <v>0</v>
      </c>
      <c r="FC85" s="85">
        <v>57876</v>
      </c>
      <c r="FD85" s="151"/>
      <c r="FE85" s="151"/>
      <c r="FF85" s="151"/>
      <c r="FG85" s="151"/>
      <c r="FH85" s="40">
        <f t="shared" si="44"/>
        <v>0</v>
      </c>
      <c r="FJ85" s="85">
        <v>57876</v>
      </c>
      <c r="FK85" s="151"/>
      <c r="FL85" s="151"/>
      <c r="FM85" s="151"/>
      <c r="FN85" s="151"/>
      <c r="FO85" s="40">
        <f t="shared" si="45"/>
        <v>0</v>
      </c>
      <c r="FQ85" s="85">
        <v>57876</v>
      </c>
      <c r="FR85" s="151"/>
      <c r="FS85" s="151"/>
      <c r="FT85" s="151"/>
      <c r="FU85" s="151"/>
      <c r="FV85" s="40">
        <f t="shared" si="46"/>
        <v>0</v>
      </c>
      <c r="FX85" s="85">
        <v>57876</v>
      </c>
      <c r="FY85" s="151"/>
      <c r="FZ85" s="151"/>
      <c r="GA85" s="151"/>
      <c r="GB85" s="151"/>
      <c r="GC85" s="40">
        <f t="shared" si="47"/>
        <v>0</v>
      </c>
    </row>
    <row r="86" spans="2:185" x14ac:dyDescent="0.25">
      <c r="B86" s="85">
        <v>58075</v>
      </c>
      <c r="C86" s="85"/>
      <c r="D86" s="85">
        <v>58059</v>
      </c>
      <c r="E86" s="40">
        <f t="shared" si="56"/>
        <v>0</v>
      </c>
      <c r="F86" s="40">
        <f t="shared" si="57"/>
        <v>0</v>
      </c>
      <c r="G86" s="40">
        <f t="shared" si="58"/>
        <v>0</v>
      </c>
      <c r="H86" s="40">
        <v>0</v>
      </c>
      <c r="I86" s="40">
        <f t="shared" si="59"/>
        <v>0</v>
      </c>
      <c r="J86" s="40"/>
      <c r="L86" s="85">
        <v>58059</v>
      </c>
      <c r="M86" s="40"/>
      <c r="N86" s="101"/>
      <c r="O86" s="40">
        <f t="shared" si="60"/>
        <v>0</v>
      </c>
      <c r="P86" s="40"/>
      <c r="Q86" s="40"/>
      <c r="R86" s="40">
        <f t="shared" si="61"/>
        <v>0</v>
      </c>
      <c r="T86" s="85">
        <v>58059</v>
      </c>
      <c r="U86" s="40"/>
      <c r="V86" s="101"/>
      <c r="W86" s="40">
        <f t="shared" si="62"/>
        <v>0</v>
      </c>
      <c r="X86" s="40"/>
      <c r="Y86" s="40"/>
      <c r="Z86" s="40">
        <f t="shared" si="63"/>
        <v>0</v>
      </c>
      <c r="AB86" s="85">
        <v>58059</v>
      </c>
      <c r="AC86" s="40"/>
      <c r="AD86" s="101"/>
      <c r="AE86" s="40">
        <f t="shared" si="64"/>
        <v>0</v>
      </c>
      <c r="AF86" s="40"/>
      <c r="AG86" s="40"/>
      <c r="AH86" s="40">
        <f t="shared" si="65"/>
        <v>0</v>
      </c>
      <c r="AJ86" s="85">
        <v>58059</v>
      </c>
      <c r="AK86" s="40"/>
      <c r="AL86" s="101"/>
      <c r="AM86" s="40">
        <f t="shared" si="66"/>
        <v>0</v>
      </c>
      <c r="AN86" s="40"/>
      <c r="AO86" s="40"/>
      <c r="AP86" s="40">
        <f t="shared" si="67"/>
        <v>0</v>
      </c>
      <c r="AR86" s="85">
        <v>58059</v>
      </c>
      <c r="AS86" s="40"/>
      <c r="AT86" s="101"/>
      <c r="AU86" s="40"/>
      <c r="AV86" s="101"/>
      <c r="AW86" s="40">
        <f t="shared" si="48"/>
        <v>0</v>
      </c>
      <c r="AX86" s="40"/>
      <c r="AY86" s="40"/>
      <c r="AZ86" s="40">
        <f t="shared" si="50"/>
        <v>0</v>
      </c>
      <c r="BB86" s="85">
        <v>58059</v>
      </c>
      <c r="BC86" s="40"/>
      <c r="BD86" s="40"/>
      <c r="BE86" s="40"/>
      <c r="BF86" s="40"/>
      <c r="BG86" s="40">
        <f t="shared" si="51"/>
        <v>0</v>
      </c>
      <c r="BI86" s="85">
        <v>58059</v>
      </c>
      <c r="BJ86" s="40"/>
      <c r="BK86" s="40"/>
      <c r="BL86" s="40"/>
      <c r="BM86" s="40"/>
      <c r="BN86" s="40">
        <v>0</v>
      </c>
      <c r="BP86" s="85">
        <v>58059</v>
      </c>
      <c r="BQ86" s="40"/>
      <c r="BR86" s="40"/>
      <c r="BS86" s="40"/>
      <c r="BT86" s="40"/>
      <c r="BU86" s="40">
        <v>0</v>
      </c>
      <c r="BW86" s="85">
        <v>58059</v>
      </c>
      <c r="BX86" s="40"/>
      <c r="BY86" s="40"/>
      <c r="BZ86" s="40"/>
      <c r="CA86" s="40"/>
      <c r="CB86" s="40">
        <v>0</v>
      </c>
      <c r="CD86" s="85">
        <v>58059</v>
      </c>
      <c r="CE86" s="40"/>
      <c r="CF86" s="40"/>
      <c r="CG86" s="40"/>
      <c r="CH86" s="40">
        <v>0</v>
      </c>
      <c r="CJ86" s="85">
        <v>58059</v>
      </c>
      <c r="CK86" s="40"/>
      <c r="CL86" s="87">
        <v>0</v>
      </c>
      <c r="CM86" s="40"/>
      <c r="CN86" s="40">
        <v>0</v>
      </c>
      <c r="CP86" s="85">
        <v>58059</v>
      </c>
      <c r="CQ86" s="40"/>
      <c r="CR86" s="87"/>
      <c r="CS86" s="40"/>
      <c r="CT86" s="40"/>
      <c r="CU86" s="40">
        <f t="shared" si="40"/>
        <v>0</v>
      </c>
      <c r="CW86" s="85">
        <v>58059</v>
      </c>
      <c r="CY86" s="40"/>
      <c r="CZ86" s="87"/>
      <c r="DB86" s="40">
        <v>0</v>
      </c>
      <c r="DD86" s="85">
        <v>58059</v>
      </c>
      <c r="DE86" s="40"/>
      <c r="DF86" s="87"/>
      <c r="DG86" s="40"/>
      <c r="DH86" s="87"/>
      <c r="DI86" s="40"/>
      <c r="DJ86" s="87"/>
      <c r="DK86" s="40"/>
      <c r="DL86" s="87"/>
      <c r="DM86" s="40"/>
      <c r="DO86" s="40">
        <f t="shared" si="52"/>
        <v>0</v>
      </c>
      <c r="DQ86" s="85">
        <v>58059</v>
      </c>
      <c r="DR86" s="40"/>
      <c r="DS86" s="87"/>
      <c r="DT86" s="40"/>
      <c r="DU86" s="40">
        <f t="shared" si="42"/>
        <v>0</v>
      </c>
      <c r="DW86" s="85">
        <v>58059</v>
      </c>
      <c r="EB86" s="40">
        <f t="shared" si="43"/>
        <v>0</v>
      </c>
      <c r="ED86" s="85">
        <v>58059</v>
      </c>
      <c r="EI86" s="40">
        <f t="shared" si="41"/>
        <v>0</v>
      </c>
      <c r="EJ86" s="85"/>
      <c r="EK86" s="85">
        <v>58059</v>
      </c>
      <c r="EL86" s="151"/>
      <c r="EM86" s="151"/>
      <c r="EN86" s="151"/>
      <c r="EO86" s="151"/>
      <c r="EQ86" s="85">
        <v>58059</v>
      </c>
      <c r="ER86" s="151"/>
      <c r="ES86" s="155"/>
      <c r="ET86" s="40">
        <f t="shared" si="53"/>
        <v>0</v>
      </c>
      <c r="EU86" s="40">
        <f t="shared" si="54"/>
        <v>0</v>
      </c>
      <c r="EW86" s="85">
        <v>58059</v>
      </c>
      <c r="EX86" s="151"/>
      <c r="EY86" s="155"/>
      <c r="EZ86" s="40">
        <f t="shared" si="49"/>
        <v>0</v>
      </c>
      <c r="FA86" s="40">
        <f t="shared" si="55"/>
        <v>0</v>
      </c>
      <c r="FC86" s="85">
        <v>58059</v>
      </c>
      <c r="FD86" s="151"/>
      <c r="FE86" s="151"/>
      <c r="FF86" s="151"/>
      <c r="FG86" s="151"/>
      <c r="FH86" s="40">
        <f t="shared" si="44"/>
        <v>0</v>
      </c>
      <c r="FJ86" s="85">
        <v>58059</v>
      </c>
      <c r="FK86" s="151"/>
      <c r="FL86" s="151"/>
      <c r="FM86" s="151"/>
      <c r="FN86" s="151"/>
      <c r="FO86" s="40">
        <f t="shared" si="45"/>
        <v>0</v>
      </c>
      <c r="FQ86" s="85">
        <v>58059</v>
      </c>
      <c r="FR86" s="151"/>
      <c r="FS86" s="151"/>
      <c r="FT86" s="151"/>
      <c r="FU86" s="151"/>
      <c r="FV86" s="40">
        <f t="shared" si="46"/>
        <v>0</v>
      </c>
      <c r="FX86" s="85">
        <v>58059</v>
      </c>
      <c r="FY86" s="151"/>
      <c r="FZ86" s="151"/>
      <c r="GA86" s="151"/>
      <c r="GB86" s="151"/>
      <c r="GC86" s="40">
        <f t="shared" si="47"/>
        <v>0</v>
      </c>
    </row>
    <row r="87" spans="2:185" x14ac:dyDescent="0.25">
      <c r="B87" s="85">
        <v>58256</v>
      </c>
      <c r="C87" s="85"/>
      <c r="D87" s="85">
        <v>58241</v>
      </c>
      <c r="E87" s="40">
        <f t="shared" si="56"/>
        <v>0</v>
      </c>
      <c r="F87" s="40">
        <f t="shared" si="57"/>
        <v>0</v>
      </c>
      <c r="G87" s="40">
        <f t="shared" si="58"/>
        <v>0</v>
      </c>
      <c r="H87" s="40">
        <v>0</v>
      </c>
      <c r="I87" s="40">
        <f t="shared" si="59"/>
        <v>0</v>
      </c>
      <c r="J87" s="40">
        <f>SUM(I86:I87)</f>
        <v>0</v>
      </c>
      <c r="L87" s="85">
        <v>58241</v>
      </c>
      <c r="M87" s="40"/>
      <c r="N87" s="101"/>
      <c r="O87" s="40">
        <f t="shared" si="60"/>
        <v>0</v>
      </c>
      <c r="P87" s="40"/>
      <c r="Q87" s="40"/>
      <c r="R87" s="40">
        <f t="shared" si="61"/>
        <v>0</v>
      </c>
      <c r="T87" s="85">
        <v>58241</v>
      </c>
      <c r="U87" s="40"/>
      <c r="V87" s="101"/>
      <c r="W87" s="40">
        <f t="shared" si="62"/>
        <v>0</v>
      </c>
      <c r="X87" s="40"/>
      <c r="Y87" s="40"/>
      <c r="Z87" s="40">
        <f t="shared" si="63"/>
        <v>0</v>
      </c>
      <c r="AB87" s="85">
        <v>58241</v>
      </c>
      <c r="AC87" s="40"/>
      <c r="AD87" s="101"/>
      <c r="AE87" s="40">
        <f t="shared" si="64"/>
        <v>0</v>
      </c>
      <c r="AF87" s="40"/>
      <c r="AG87" s="40"/>
      <c r="AH87" s="40">
        <f t="shared" si="65"/>
        <v>0</v>
      </c>
      <c r="AJ87" s="85">
        <v>58241</v>
      </c>
      <c r="AK87" s="40"/>
      <c r="AL87" s="101"/>
      <c r="AM87" s="40">
        <f t="shared" si="66"/>
        <v>0</v>
      </c>
      <c r="AN87" s="40"/>
      <c r="AO87" s="40"/>
      <c r="AP87" s="40">
        <f t="shared" si="67"/>
        <v>0</v>
      </c>
      <c r="AR87" s="85">
        <v>58241</v>
      </c>
      <c r="AS87" s="40"/>
      <c r="AT87" s="101"/>
      <c r="AU87" s="40"/>
      <c r="AV87" s="101"/>
      <c r="AW87" s="40">
        <f t="shared" si="48"/>
        <v>0</v>
      </c>
      <c r="AX87" s="40"/>
      <c r="AY87" s="40"/>
      <c r="AZ87" s="40">
        <f t="shared" si="50"/>
        <v>0</v>
      </c>
      <c r="BB87" s="85">
        <v>58241</v>
      </c>
      <c r="BC87" s="40"/>
      <c r="BD87" s="40"/>
      <c r="BE87" s="40"/>
      <c r="BF87" s="40"/>
      <c r="BG87" s="40">
        <f t="shared" si="51"/>
        <v>0</v>
      </c>
      <c r="BI87" s="85">
        <v>58241</v>
      </c>
      <c r="BJ87" s="40"/>
      <c r="BK87" s="40"/>
      <c r="BL87" s="40"/>
      <c r="BM87" s="40"/>
      <c r="BN87" s="40">
        <v>0</v>
      </c>
      <c r="BP87" s="85">
        <v>58241</v>
      </c>
      <c r="BQ87" s="40"/>
      <c r="BR87" s="40"/>
      <c r="BS87" s="40"/>
      <c r="BT87" s="40"/>
      <c r="BU87" s="40">
        <v>0</v>
      </c>
      <c r="BW87" s="85">
        <v>58241</v>
      </c>
      <c r="BX87" s="40"/>
      <c r="BY87" s="40"/>
      <c r="BZ87" s="40"/>
      <c r="CA87" s="40"/>
      <c r="CB87" s="40">
        <v>0</v>
      </c>
      <c r="CD87" s="85">
        <v>58241</v>
      </c>
      <c r="CE87" s="40"/>
      <c r="CF87" s="40"/>
      <c r="CG87" s="40"/>
      <c r="CH87" s="40">
        <v>0</v>
      </c>
      <c r="CJ87" s="85">
        <v>58241</v>
      </c>
      <c r="CK87" s="40"/>
      <c r="CL87" s="87">
        <v>0</v>
      </c>
      <c r="CM87" s="40"/>
      <c r="CN87" s="40">
        <v>0</v>
      </c>
      <c r="CP87" s="85">
        <v>58241</v>
      </c>
      <c r="CQ87" s="40"/>
      <c r="CR87" s="87"/>
      <c r="CS87" s="40"/>
      <c r="CT87" s="40"/>
      <c r="CU87" s="40">
        <f t="shared" si="40"/>
        <v>0</v>
      </c>
      <c r="CW87" s="85">
        <v>58241</v>
      </c>
      <c r="CY87" s="40"/>
      <c r="CZ87" s="87"/>
      <c r="DB87" s="40">
        <v>0</v>
      </c>
      <c r="DD87" s="85">
        <v>58241</v>
      </c>
      <c r="DE87" s="40"/>
      <c r="DF87" s="87"/>
      <c r="DG87" s="40"/>
      <c r="DH87" s="87"/>
      <c r="DI87" s="40"/>
      <c r="DJ87" s="87"/>
      <c r="DK87" s="40"/>
      <c r="DL87" s="87"/>
      <c r="DM87" s="40"/>
      <c r="DO87" s="40">
        <f t="shared" si="52"/>
        <v>0</v>
      </c>
      <c r="DQ87" s="85">
        <v>58241</v>
      </c>
      <c r="DR87" s="40"/>
      <c r="DS87" s="87"/>
      <c r="DT87" s="40"/>
      <c r="DU87" s="40">
        <f t="shared" si="42"/>
        <v>0</v>
      </c>
      <c r="DW87" s="85">
        <v>58241</v>
      </c>
      <c r="EB87" s="40">
        <f t="shared" si="43"/>
        <v>0</v>
      </c>
      <c r="ED87" s="85">
        <v>58241</v>
      </c>
      <c r="EI87" s="40">
        <f t="shared" si="41"/>
        <v>0</v>
      </c>
      <c r="EJ87" s="85"/>
      <c r="EK87" s="85">
        <v>58241</v>
      </c>
      <c r="EL87" s="151"/>
      <c r="EM87" s="151"/>
      <c r="EN87" s="151"/>
      <c r="EO87" s="151"/>
      <c r="EQ87" s="85">
        <v>58241</v>
      </c>
      <c r="ER87" s="151"/>
      <c r="ES87" s="155"/>
      <c r="ET87" s="40">
        <f t="shared" si="53"/>
        <v>0</v>
      </c>
      <c r="EU87" s="40">
        <f t="shared" si="54"/>
        <v>0</v>
      </c>
      <c r="EW87" s="85">
        <v>58241</v>
      </c>
      <c r="EX87" s="151"/>
      <c r="EY87" s="155"/>
      <c r="EZ87" s="40">
        <f t="shared" si="49"/>
        <v>0</v>
      </c>
      <c r="FA87" s="40">
        <f t="shared" si="55"/>
        <v>0</v>
      </c>
      <c r="FC87" s="85">
        <v>58241</v>
      </c>
      <c r="FD87" s="151"/>
      <c r="FE87" s="151"/>
      <c r="FF87" s="151"/>
      <c r="FG87" s="151"/>
      <c r="FH87" s="40">
        <f t="shared" si="44"/>
        <v>0</v>
      </c>
      <c r="FJ87" s="85">
        <v>58241</v>
      </c>
      <c r="FK87" s="151"/>
      <c r="FL87" s="151"/>
      <c r="FM87" s="151"/>
      <c r="FN87" s="151"/>
      <c r="FO87" s="40">
        <f t="shared" si="45"/>
        <v>0</v>
      </c>
      <c r="FQ87" s="85">
        <v>58241</v>
      </c>
      <c r="FR87" s="151"/>
      <c r="FS87" s="151"/>
      <c r="FT87" s="151"/>
      <c r="FU87" s="151"/>
      <c r="FV87" s="40">
        <f t="shared" si="46"/>
        <v>0</v>
      </c>
      <c r="FX87" s="85">
        <v>58241</v>
      </c>
      <c r="FY87" s="151"/>
      <c r="FZ87" s="151"/>
      <c r="GA87" s="151"/>
      <c r="GB87" s="151"/>
      <c r="GC87" s="40">
        <f t="shared" si="47"/>
        <v>0</v>
      </c>
    </row>
    <row r="88" spans="2:185" x14ac:dyDescent="0.25">
      <c r="B88" s="85">
        <v>58440</v>
      </c>
      <c r="C88" s="85"/>
      <c r="D88" s="85">
        <v>58424</v>
      </c>
      <c r="E88" s="40">
        <f t="shared" si="56"/>
        <v>0</v>
      </c>
      <c r="F88" s="40">
        <f t="shared" si="57"/>
        <v>0</v>
      </c>
      <c r="G88" s="40">
        <f t="shared" si="58"/>
        <v>0</v>
      </c>
      <c r="H88" s="40">
        <v>0</v>
      </c>
      <c r="I88" s="40">
        <f t="shared" si="59"/>
        <v>0</v>
      </c>
      <c r="J88" s="40"/>
      <c r="L88" s="85">
        <v>58424</v>
      </c>
      <c r="M88" s="40"/>
      <c r="N88" s="101"/>
      <c r="O88" s="40">
        <f t="shared" si="60"/>
        <v>0</v>
      </c>
      <c r="P88" s="40"/>
      <c r="Q88" s="40"/>
      <c r="R88" s="40">
        <f t="shared" si="61"/>
        <v>0</v>
      </c>
      <c r="T88" s="85">
        <v>58424</v>
      </c>
      <c r="U88" s="40"/>
      <c r="V88" s="101"/>
      <c r="W88" s="40">
        <f t="shared" si="62"/>
        <v>0</v>
      </c>
      <c r="X88" s="40"/>
      <c r="Y88" s="40"/>
      <c r="Z88" s="40">
        <f t="shared" si="63"/>
        <v>0</v>
      </c>
      <c r="AB88" s="85">
        <v>58424</v>
      </c>
      <c r="AC88" s="40"/>
      <c r="AD88" s="101"/>
      <c r="AE88" s="40">
        <f t="shared" si="64"/>
        <v>0</v>
      </c>
      <c r="AF88" s="40"/>
      <c r="AG88" s="40"/>
      <c r="AH88" s="40">
        <f t="shared" si="65"/>
        <v>0</v>
      </c>
      <c r="AJ88" s="85">
        <v>58424</v>
      </c>
      <c r="AK88" s="40"/>
      <c r="AL88" s="101"/>
      <c r="AM88" s="40">
        <f t="shared" si="66"/>
        <v>0</v>
      </c>
      <c r="AN88" s="40"/>
      <c r="AO88" s="40"/>
      <c r="AP88" s="40">
        <f t="shared" si="67"/>
        <v>0</v>
      </c>
      <c r="AR88" s="85">
        <v>58424</v>
      </c>
      <c r="AS88" s="40"/>
      <c r="AT88" s="101"/>
      <c r="AU88" s="40"/>
      <c r="AV88" s="101"/>
      <c r="AW88" s="40">
        <f t="shared" si="48"/>
        <v>0</v>
      </c>
      <c r="AX88" s="40"/>
      <c r="AY88" s="40"/>
      <c r="AZ88" s="40">
        <f t="shared" si="50"/>
        <v>0</v>
      </c>
      <c r="BB88" s="85">
        <v>58424</v>
      </c>
      <c r="BC88" s="40"/>
      <c r="BD88" s="40"/>
      <c r="BE88" s="40"/>
      <c r="BF88" s="40"/>
      <c r="BG88" s="40">
        <f t="shared" si="51"/>
        <v>0</v>
      </c>
      <c r="BI88" s="85">
        <v>58424</v>
      </c>
      <c r="BJ88" s="40"/>
      <c r="BK88" s="40"/>
      <c r="BL88" s="40"/>
      <c r="BM88" s="40"/>
      <c r="BN88" s="40">
        <v>0</v>
      </c>
      <c r="BP88" s="85">
        <v>58424</v>
      </c>
      <c r="BQ88" s="40"/>
      <c r="BR88" s="40"/>
      <c r="BS88" s="40"/>
      <c r="BT88" s="40"/>
      <c r="BU88" s="40">
        <v>0</v>
      </c>
      <c r="BW88" s="85">
        <v>58424</v>
      </c>
      <c r="BX88" s="40"/>
      <c r="BY88" s="40"/>
      <c r="BZ88" s="40"/>
      <c r="CA88" s="40"/>
      <c r="CB88" s="40">
        <v>0</v>
      </c>
      <c r="CD88" s="85">
        <v>58424</v>
      </c>
      <c r="CE88" s="40"/>
      <c r="CF88" s="40"/>
      <c r="CG88" s="40"/>
      <c r="CH88" s="40">
        <v>0</v>
      </c>
      <c r="CJ88" s="85">
        <v>58424</v>
      </c>
      <c r="CK88" s="40"/>
      <c r="CL88" s="87">
        <v>0</v>
      </c>
      <c r="CM88" s="40"/>
      <c r="CN88" s="40">
        <v>0</v>
      </c>
      <c r="CP88" s="85">
        <v>58424</v>
      </c>
      <c r="CQ88" s="40"/>
      <c r="CR88" s="87"/>
      <c r="CS88" s="40"/>
      <c r="CT88" s="40"/>
      <c r="CU88" s="40">
        <f t="shared" si="40"/>
        <v>0</v>
      </c>
      <c r="CW88" s="85">
        <v>58424</v>
      </c>
      <c r="CY88" s="40"/>
      <c r="CZ88" s="87"/>
      <c r="DB88" s="40">
        <v>0</v>
      </c>
      <c r="DD88" s="85">
        <v>58424</v>
      </c>
      <c r="DE88" s="40"/>
      <c r="DF88" s="87"/>
      <c r="DG88" s="40"/>
      <c r="DH88" s="87"/>
      <c r="DI88" s="40"/>
      <c r="DJ88" s="87"/>
      <c r="DK88" s="40"/>
      <c r="DL88" s="87"/>
      <c r="DM88" s="40"/>
      <c r="DO88" s="40">
        <f t="shared" si="52"/>
        <v>0</v>
      </c>
      <c r="DQ88" s="85">
        <v>58424</v>
      </c>
      <c r="DR88" s="40"/>
      <c r="DS88" s="87"/>
      <c r="DT88" s="40"/>
      <c r="DU88" s="40">
        <f t="shared" si="42"/>
        <v>0</v>
      </c>
      <c r="DW88" s="85">
        <v>58424</v>
      </c>
      <c r="EB88" s="40">
        <f t="shared" si="43"/>
        <v>0</v>
      </c>
      <c r="ED88" s="85">
        <v>58424</v>
      </c>
      <c r="EI88" s="40">
        <f t="shared" si="41"/>
        <v>0</v>
      </c>
      <c r="EJ88" s="85"/>
      <c r="EK88" s="85">
        <v>58424</v>
      </c>
      <c r="EL88" s="151"/>
      <c r="EM88" s="151"/>
      <c r="EN88" s="151"/>
      <c r="EO88" s="151"/>
      <c r="EQ88" s="85">
        <v>58424</v>
      </c>
      <c r="ER88" s="151"/>
      <c r="ES88" s="155"/>
      <c r="ET88" s="40">
        <f t="shared" si="53"/>
        <v>0</v>
      </c>
      <c r="EU88" s="40">
        <f t="shared" si="54"/>
        <v>0</v>
      </c>
      <c r="EW88" s="85">
        <v>58424</v>
      </c>
      <c r="EX88" s="151"/>
      <c r="EY88" s="155"/>
      <c r="EZ88" s="40">
        <f t="shared" si="49"/>
        <v>0</v>
      </c>
      <c r="FA88" s="40">
        <f t="shared" si="55"/>
        <v>0</v>
      </c>
      <c r="FC88" s="85">
        <v>58424</v>
      </c>
      <c r="FD88" s="151"/>
      <c r="FE88" s="151"/>
      <c r="FF88" s="151"/>
      <c r="FG88" s="151"/>
      <c r="FH88" s="40">
        <f t="shared" si="44"/>
        <v>0</v>
      </c>
      <c r="FJ88" s="85">
        <v>58424</v>
      </c>
      <c r="FK88" s="151"/>
      <c r="FL88" s="151"/>
      <c r="FM88" s="151"/>
      <c r="FN88" s="151"/>
      <c r="FO88" s="40">
        <f t="shared" si="45"/>
        <v>0</v>
      </c>
      <c r="FQ88" s="85">
        <v>58424</v>
      </c>
      <c r="FR88" s="151"/>
      <c r="FS88" s="151"/>
      <c r="FT88" s="151"/>
      <c r="FU88" s="151"/>
      <c r="FV88" s="40">
        <f t="shared" si="46"/>
        <v>0</v>
      </c>
      <c r="FX88" s="85">
        <v>58424</v>
      </c>
      <c r="FY88" s="151"/>
      <c r="FZ88" s="151"/>
      <c r="GA88" s="151"/>
      <c r="GB88" s="151"/>
      <c r="GC88" s="40">
        <f t="shared" si="47"/>
        <v>0</v>
      </c>
    </row>
    <row r="89" spans="2:185" x14ac:dyDescent="0.25">
      <c r="B89" s="85">
        <v>58622</v>
      </c>
      <c r="C89" s="85"/>
      <c r="D89" s="85">
        <v>58607</v>
      </c>
      <c r="E89" s="40">
        <f t="shared" si="56"/>
        <v>0</v>
      </c>
      <c r="F89" s="40">
        <f t="shared" si="57"/>
        <v>0</v>
      </c>
      <c r="G89" s="40">
        <f t="shared" si="58"/>
        <v>0</v>
      </c>
      <c r="H89" s="40">
        <v>0</v>
      </c>
      <c r="I89" s="40">
        <f t="shared" si="59"/>
        <v>0</v>
      </c>
      <c r="J89" s="40">
        <f>SUM(I88:I89)</f>
        <v>0</v>
      </c>
      <c r="L89" s="85">
        <v>58607</v>
      </c>
      <c r="M89" s="40"/>
      <c r="N89" s="101"/>
      <c r="O89" s="40">
        <f t="shared" si="60"/>
        <v>0</v>
      </c>
      <c r="P89" s="40"/>
      <c r="Q89" s="40"/>
      <c r="R89" s="40">
        <f t="shared" si="61"/>
        <v>0</v>
      </c>
      <c r="T89" s="85">
        <v>58607</v>
      </c>
      <c r="U89" s="40"/>
      <c r="V89" s="101"/>
      <c r="W89" s="40">
        <f t="shared" si="62"/>
        <v>0</v>
      </c>
      <c r="X89" s="40"/>
      <c r="Y89" s="40"/>
      <c r="Z89" s="40">
        <f t="shared" si="63"/>
        <v>0</v>
      </c>
      <c r="AB89" s="85">
        <v>58607</v>
      </c>
      <c r="AC89" s="40"/>
      <c r="AD89" s="101"/>
      <c r="AE89" s="40">
        <f t="shared" si="64"/>
        <v>0</v>
      </c>
      <c r="AF89" s="40"/>
      <c r="AG89" s="40"/>
      <c r="AH89" s="40">
        <f t="shared" si="65"/>
        <v>0</v>
      </c>
      <c r="AJ89" s="85">
        <v>58607</v>
      </c>
      <c r="AK89" s="40"/>
      <c r="AL89" s="101"/>
      <c r="AM89" s="40">
        <f t="shared" si="66"/>
        <v>0</v>
      </c>
      <c r="AN89" s="40"/>
      <c r="AO89" s="40"/>
      <c r="AP89" s="40">
        <f t="shared" si="67"/>
        <v>0</v>
      </c>
      <c r="AR89" s="85">
        <v>58607</v>
      </c>
      <c r="AS89" s="40"/>
      <c r="AT89" s="101"/>
      <c r="AU89" s="40"/>
      <c r="AV89" s="101"/>
      <c r="AW89" s="40">
        <f t="shared" si="48"/>
        <v>0</v>
      </c>
      <c r="AX89" s="40"/>
      <c r="AY89" s="40"/>
      <c r="AZ89" s="40">
        <f t="shared" si="50"/>
        <v>0</v>
      </c>
      <c r="BB89" s="85">
        <v>58607</v>
      </c>
      <c r="BC89" s="40"/>
      <c r="BD89" s="40"/>
      <c r="BE89" s="40"/>
      <c r="BF89" s="40"/>
      <c r="BG89" s="40">
        <f t="shared" si="51"/>
        <v>0</v>
      </c>
      <c r="BI89" s="85">
        <v>58607</v>
      </c>
      <c r="BJ89" s="40"/>
      <c r="BK89" s="40"/>
      <c r="BL89" s="40"/>
      <c r="BM89" s="40"/>
      <c r="BN89" s="40">
        <v>0</v>
      </c>
      <c r="BP89" s="85">
        <v>58607</v>
      </c>
      <c r="BQ89" s="40"/>
      <c r="BR89" s="40"/>
      <c r="BS89" s="40"/>
      <c r="BT89" s="40"/>
      <c r="BU89" s="40">
        <v>0</v>
      </c>
      <c r="BW89" s="85">
        <v>58607</v>
      </c>
      <c r="BX89" s="40"/>
      <c r="BY89" s="40"/>
      <c r="BZ89" s="40"/>
      <c r="CA89" s="40"/>
      <c r="CB89" s="40">
        <v>0</v>
      </c>
      <c r="CD89" s="85">
        <v>58607</v>
      </c>
      <c r="CE89" s="40"/>
      <c r="CF89" s="40"/>
      <c r="CG89" s="40"/>
      <c r="CH89" s="40">
        <v>0</v>
      </c>
      <c r="CJ89" s="85">
        <v>58607</v>
      </c>
      <c r="CK89" s="40"/>
      <c r="CL89" s="87">
        <v>0</v>
      </c>
      <c r="CM89" s="40"/>
      <c r="CN89" s="40">
        <v>0</v>
      </c>
      <c r="CP89" s="85">
        <v>58607</v>
      </c>
      <c r="CQ89" s="40"/>
      <c r="CR89" s="87"/>
      <c r="CS89" s="40"/>
      <c r="CT89" s="40"/>
      <c r="CU89" s="40">
        <f t="shared" si="40"/>
        <v>0</v>
      </c>
      <c r="CW89" s="85">
        <v>58607</v>
      </c>
      <c r="CY89" s="40"/>
      <c r="CZ89" s="87"/>
      <c r="DB89" s="40">
        <v>0</v>
      </c>
      <c r="DD89" s="85">
        <v>58607</v>
      </c>
      <c r="DE89" s="40"/>
      <c r="DF89" s="87"/>
      <c r="DG89" s="40"/>
      <c r="DH89" s="87"/>
      <c r="DI89" s="40"/>
      <c r="DJ89" s="87"/>
      <c r="DK89" s="40"/>
      <c r="DL89" s="87"/>
      <c r="DM89" s="40"/>
      <c r="DO89" s="40">
        <f t="shared" si="52"/>
        <v>0</v>
      </c>
      <c r="DQ89" s="85">
        <v>58607</v>
      </c>
      <c r="DR89" s="40"/>
      <c r="DS89" s="87"/>
      <c r="DT89" s="40"/>
      <c r="DU89" s="40">
        <f t="shared" si="42"/>
        <v>0</v>
      </c>
      <c r="DW89" s="85">
        <v>58607</v>
      </c>
      <c r="EB89" s="40">
        <f t="shared" si="43"/>
        <v>0</v>
      </c>
      <c r="ED89" s="85">
        <v>58607</v>
      </c>
      <c r="EI89" s="40">
        <f t="shared" si="41"/>
        <v>0</v>
      </c>
      <c r="EJ89" s="85"/>
      <c r="EK89" s="85">
        <v>58607</v>
      </c>
      <c r="EL89" s="151"/>
      <c r="EM89" s="151"/>
      <c r="EN89" s="151"/>
      <c r="EO89" s="151"/>
      <c r="EQ89" s="85">
        <v>58607</v>
      </c>
      <c r="ER89" s="151"/>
      <c r="ES89" s="155"/>
      <c r="ET89" s="40">
        <f>ER89*ES89/2+ET90</f>
        <v>0</v>
      </c>
      <c r="EU89" s="40">
        <f t="shared" si="54"/>
        <v>0</v>
      </c>
      <c r="EW89" s="85">
        <v>58607</v>
      </c>
      <c r="EX89" s="151"/>
      <c r="EY89" s="155"/>
      <c r="EZ89" s="40">
        <f>EX89*EY89/2+EZ90</f>
        <v>0</v>
      </c>
      <c r="FA89" s="40">
        <f t="shared" si="55"/>
        <v>0</v>
      </c>
      <c r="FC89" s="85">
        <v>58607</v>
      </c>
      <c r="FD89" s="151"/>
      <c r="FE89" s="151"/>
      <c r="FF89" s="151"/>
      <c r="FG89" s="151"/>
      <c r="FH89" s="40">
        <f t="shared" si="44"/>
        <v>0</v>
      </c>
      <c r="FJ89" s="85">
        <v>58607</v>
      </c>
      <c r="FK89" s="151"/>
      <c r="FL89" s="151"/>
      <c r="FM89" s="151"/>
      <c r="FN89" s="151"/>
      <c r="FO89" s="40">
        <f t="shared" si="45"/>
        <v>0</v>
      </c>
      <c r="FQ89" s="85">
        <v>58607</v>
      </c>
      <c r="FR89" s="151"/>
      <c r="FS89" s="151"/>
      <c r="FT89" s="151"/>
      <c r="FU89" s="151"/>
      <c r="FV89" s="40">
        <f t="shared" si="46"/>
        <v>0</v>
      </c>
      <c r="FX89" s="85">
        <v>58607</v>
      </c>
      <c r="FY89" s="151"/>
      <c r="FZ89" s="151"/>
      <c r="GA89" s="151"/>
      <c r="GB89" s="151"/>
      <c r="GC89" s="40">
        <f t="shared" si="47"/>
        <v>0</v>
      </c>
    </row>
    <row r="90" spans="2:185" x14ac:dyDescent="0.25">
      <c r="EZ90" s="40"/>
    </row>
    <row r="91" spans="2:185" x14ac:dyDescent="0.25">
      <c r="B91" s="95" t="s">
        <v>36</v>
      </c>
      <c r="C91" s="95"/>
      <c r="D91" s="95"/>
      <c r="E91" s="96">
        <f t="shared" ref="E91:J91" si="68">SUM(E11:E90)</f>
        <v>884165000</v>
      </c>
      <c r="F91" s="96">
        <f t="shared" si="68"/>
        <v>568895294.50999999</v>
      </c>
      <c r="G91" s="96">
        <f t="shared" si="68"/>
        <v>0</v>
      </c>
      <c r="H91" s="96">
        <f t="shared" si="68"/>
        <v>0</v>
      </c>
      <c r="I91" s="96">
        <f t="shared" si="68"/>
        <v>1453060294.51</v>
      </c>
      <c r="J91" s="96">
        <f t="shared" si="68"/>
        <v>1453060294.51</v>
      </c>
      <c r="L91" s="95" t="s">
        <v>36</v>
      </c>
      <c r="M91" s="96">
        <f>SUM(M11:M90)</f>
        <v>147905000</v>
      </c>
      <c r="N91" s="96"/>
      <c r="O91" s="96">
        <f>SUM(O11:O90)</f>
        <v>35761010.759999998</v>
      </c>
      <c r="P91" s="96">
        <f>SUM(P11:P90)</f>
        <v>0</v>
      </c>
      <c r="Q91" s="96">
        <f>SUM(Q11:Q90)</f>
        <v>0</v>
      </c>
      <c r="R91" s="96">
        <f>SUM(R11:R90)</f>
        <v>183666010.75999999</v>
      </c>
      <c r="T91" s="95" t="s">
        <v>36</v>
      </c>
      <c r="U91" s="96">
        <f>SUM(U11:U90)</f>
        <v>0</v>
      </c>
      <c r="V91" s="96"/>
      <c r="W91" s="96">
        <f>SUM(W11:W90)</f>
        <v>0</v>
      </c>
      <c r="X91" s="96">
        <f>SUM(X11:X90)</f>
        <v>0</v>
      </c>
      <c r="Y91" s="96">
        <f>SUM(Y11:Y90)</f>
        <v>0</v>
      </c>
      <c r="Z91" s="96">
        <f>SUM(Z11:Z90)</f>
        <v>0</v>
      </c>
      <c r="AB91" s="95" t="s">
        <v>36</v>
      </c>
      <c r="AC91" s="96">
        <f>SUM(AC11:AC90)</f>
        <v>0</v>
      </c>
      <c r="AD91" s="96"/>
      <c r="AE91" s="96">
        <f>SUM(AE11:AE90)</f>
        <v>0</v>
      </c>
      <c r="AF91" s="96">
        <f>SUM(AF11:AF90)</f>
        <v>0</v>
      </c>
      <c r="AG91" s="96">
        <f>SUM(AG11:AG90)</f>
        <v>0</v>
      </c>
      <c r="AH91" s="96">
        <f>SUM(AH11:AH90)</f>
        <v>0</v>
      </c>
      <c r="AJ91" s="95" t="s">
        <v>36</v>
      </c>
      <c r="AK91" s="96">
        <f>SUM(AK11:AK90)</f>
        <v>0</v>
      </c>
      <c r="AL91" s="96"/>
      <c r="AM91" s="96">
        <f>SUM(AM11:AM90)</f>
        <v>0</v>
      </c>
      <c r="AN91" s="96">
        <f>SUM(AN11:AN90)</f>
        <v>0</v>
      </c>
      <c r="AO91" s="96">
        <f>SUM(AO11:AO90)</f>
        <v>0</v>
      </c>
      <c r="AP91" s="96">
        <f>SUM(AP11:AP90)</f>
        <v>0</v>
      </c>
      <c r="AR91" s="95" t="s">
        <v>36</v>
      </c>
      <c r="AS91" s="96">
        <f>SUM(AS11:AS90)</f>
        <v>0</v>
      </c>
      <c r="AT91" s="96"/>
      <c r="AU91" s="96">
        <f>SUM(AU11:AU90)</f>
        <v>0</v>
      </c>
      <c r="AV91" s="96"/>
      <c r="AW91" s="96">
        <f>SUM(AW11:AW90)</f>
        <v>0</v>
      </c>
      <c r="AX91" s="96">
        <f>SUM(AX11:AX90)</f>
        <v>0</v>
      </c>
      <c r="AY91" s="96">
        <f>SUM(AY11:AY90)</f>
        <v>0</v>
      </c>
      <c r="AZ91" s="96">
        <f>SUM(AZ11:AZ90)</f>
        <v>0</v>
      </c>
      <c r="BB91" s="95" t="s">
        <v>36</v>
      </c>
      <c r="BC91" s="96">
        <f>SUM(BC11:BC90)</f>
        <v>0</v>
      </c>
      <c r="BD91" s="96"/>
      <c r="BE91" s="96">
        <f>SUM(BE11:BE90)</f>
        <v>0</v>
      </c>
      <c r="BF91" s="96">
        <f>SUM(BF11:BF90)</f>
        <v>0</v>
      </c>
      <c r="BG91" s="96">
        <f>SUM(BG11:BG90)</f>
        <v>0</v>
      </c>
      <c r="BI91" s="95" t="s">
        <v>36</v>
      </c>
      <c r="BJ91" s="96">
        <f>SUM(BJ11:BJ90)</f>
        <v>0</v>
      </c>
      <c r="BK91" s="96"/>
      <c r="BL91" s="96">
        <f>SUM(BL11:BL90)</f>
        <v>0</v>
      </c>
      <c r="BM91" s="96">
        <f>SUM(BM11:BM90)</f>
        <v>0</v>
      </c>
      <c r="BN91" s="96">
        <f>SUM(BN11:BN90)</f>
        <v>0</v>
      </c>
      <c r="BP91" s="95" t="s">
        <v>36</v>
      </c>
      <c r="BQ91" s="96">
        <f>SUM(BQ11:BQ90)</f>
        <v>0</v>
      </c>
      <c r="BR91" s="96"/>
      <c r="BS91" s="96">
        <f>SUM(BS11:BS90)</f>
        <v>0</v>
      </c>
      <c r="BT91" s="96">
        <f>SUM(BT11:BT90)</f>
        <v>0</v>
      </c>
      <c r="BU91" s="96">
        <f>SUM(BU11:BU90)</f>
        <v>0</v>
      </c>
      <c r="BW91" s="95" t="s">
        <v>36</v>
      </c>
      <c r="BX91" s="96">
        <f>SUM(BX11:BX90)</f>
        <v>0</v>
      </c>
      <c r="BY91" s="96"/>
      <c r="BZ91" s="96">
        <f>SUM(BZ11:BZ90)</f>
        <v>0</v>
      </c>
      <c r="CA91" s="96">
        <f>SUM(CA11:CA90)</f>
        <v>0</v>
      </c>
      <c r="CB91" s="96">
        <f>SUM(CB11:CB90)</f>
        <v>0</v>
      </c>
      <c r="CD91" s="95" t="s">
        <v>36</v>
      </c>
      <c r="CE91" s="96">
        <f>SUM(CE11:CE90)</f>
        <v>0</v>
      </c>
      <c r="CF91" s="96"/>
      <c r="CG91" s="96">
        <f>SUM(CG11:CG90)</f>
        <v>0</v>
      </c>
      <c r="CH91" s="96">
        <f>SUM(CH11:CH90)</f>
        <v>0</v>
      </c>
      <c r="CJ91" s="95" t="s">
        <v>36</v>
      </c>
      <c r="CK91" s="96">
        <f>SUM(CK11:CK90)</f>
        <v>97075000</v>
      </c>
      <c r="CL91" s="96"/>
      <c r="CM91" s="96">
        <f>SUM(CM11:CM90)</f>
        <v>98288500</v>
      </c>
      <c r="CN91" s="96">
        <f>SUM(CN11:CN90)</f>
        <v>195363500</v>
      </c>
      <c r="CP91" s="95" t="s">
        <v>36</v>
      </c>
      <c r="CQ91" s="96">
        <f>SUM(CQ11:CQ90)</f>
        <v>550465000</v>
      </c>
      <c r="CR91" s="96"/>
      <c r="CS91" s="96">
        <f>SUM(CS11:CS90)</f>
        <v>416283281.25</v>
      </c>
      <c r="CT91" s="96">
        <f>SUM(CT11:CT90)</f>
        <v>0</v>
      </c>
      <c r="CU91" s="96">
        <f>SUM(CU11:CU90)</f>
        <v>966748281.25</v>
      </c>
      <c r="CV91" s="95"/>
      <c r="CW91" s="95" t="s">
        <v>36</v>
      </c>
      <c r="CX91" s="96">
        <f>SUM(CX11:CX90)</f>
        <v>0</v>
      </c>
      <c r="CY91" s="96"/>
      <c r="CZ91" s="96"/>
      <c r="DA91" s="96">
        <f>SUM(DA11:DA90)</f>
        <v>0</v>
      </c>
      <c r="DB91" s="96">
        <f>SUM(DB11:DB90)</f>
        <v>0</v>
      </c>
      <c r="DC91" s="151"/>
      <c r="DD91" s="95" t="s">
        <v>36</v>
      </c>
      <c r="DE91" s="96">
        <f>SUM(DE11:DE90)</f>
        <v>0</v>
      </c>
      <c r="DF91" s="96"/>
      <c r="DG91" s="96">
        <f>SUM(DG11:DG90)</f>
        <v>0</v>
      </c>
      <c r="DH91" s="96"/>
      <c r="DI91" s="96">
        <f>SUM(DI11:DI90)</f>
        <v>0</v>
      </c>
      <c r="DJ91" s="96"/>
      <c r="DK91" s="96">
        <f>SUM(DK11:DK90)</f>
        <v>0</v>
      </c>
      <c r="DL91" s="96"/>
      <c r="DM91" s="96">
        <f>SUM(DM11:DM90)</f>
        <v>0</v>
      </c>
      <c r="DN91" s="96">
        <f>SUM(DN11:DN90)</f>
        <v>0</v>
      </c>
      <c r="DO91" s="96">
        <f>SUM(DO11:DO90)</f>
        <v>0</v>
      </c>
      <c r="DQ91" s="95" t="s">
        <v>36</v>
      </c>
      <c r="DR91" s="96">
        <f>SUM(DR11:DR90)</f>
        <v>0</v>
      </c>
      <c r="DS91" s="96"/>
      <c r="DT91" s="96">
        <f>SUM(DT11:DT90)</f>
        <v>0</v>
      </c>
      <c r="DU91" s="96">
        <f>SUM(DU11:DU90)</f>
        <v>0</v>
      </c>
      <c r="DV91" s="151"/>
      <c r="DW91" s="95" t="s">
        <v>36</v>
      </c>
      <c r="DX91" s="96">
        <f>SUM(DX11:DX90)</f>
        <v>88720000</v>
      </c>
      <c r="DY91" s="96"/>
      <c r="DZ91" s="96">
        <f>SUM(DZ11:DZ90)</f>
        <v>18562502.5</v>
      </c>
      <c r="EA91" s="96">
        <f>SUM(EA11:EA90)</f>
        <v>0</v>
      </c>
      <c r="EB91" s="96">
        <f>SUM(EB11:EB90)</f>
        <v>107282502.5</v>
      </c>
      <c r="EC91" s="151"/>
      <c r="ED91" s="95" t="s">
        <v>36</v>
      </c>
      <c r="EE91" s="96">
        <f>SUM(EE11:EE90)</f>
        <v>0</v>
      </c>
      <c r="EF91" s="96"/>
      <c r="EG91" s="96">
        <f>SUM(EG11:EG90)</f>
        <v>0</v>
      </c>
      <c r="EH91" s="96">
        <f>SUM(EH11:EH90)</f>
        <v>0</v>
      </c>
      <c r="EI91" s="96">
        <f>SUM(EI11:EI90)</f>
        <v>0</v>
      </c>
      <c r="EJ91" s="151"/>
      <c r="EK91" s="95" t="s">
        <v>36</v>
      </c>
      <c r="EL91" s="96">
        <f>SUM(EL11:EL90)</f>
        <v>0</v>
      </c>
      <c r="EM91" s="96">
        <f>SUM(EM11:EM90)</f>
        <v>0</v>
      </c>
      <c r="EN91" s="96">
        <f>SUM(EN11:EN90)</f>
        <v>0</v>
      </c>
      <c r="EO91" s="96">
        <f>SUM(EO11:EO90)</f>
        <v>0</v>
      </c>
      <c r="EP91" s="151"/>
      <c r="EQ91" s="95" t="s">
        <v>36</v>
      </c>
      <c r="ER91" s="96">
        <f>SUM(ER11:ER90)</f>
        <v>0</v>
      </c>
      <c r="ES91" s="96">
        <v>1.1550000000000002</v>
      </c>
      <c r="ET91" s="96">
        <f>SUM(ET11:ET90)</f>
        <v>0</v>
      </c>
      <c r="EU91" s="96">
        <f>SUM(EU11:EU90)</f>
        <v>0</v>
      </c>
      <c r="EV91" s="151"/>
      <c r="EW91" s="95" t="s">
        <v>36</v>
      </c>
      <c r="EX91" s="96">
        <f>SUM(EX11:EX90)</f>
        <v>0</v>
      </c>
      <c r="EY91" s="96">
        <v>0.495</v>
      </c>
      <c r="EZ91" s="96">
        <f>SUM(EZ11:EZ90)</f>
        <v>0</v>
      </c>
      <c r="FA91" s="96">
        <f>SUM(FA11:FA90)</f>
        <v>0</v>
      </c>
      <c r="FB91" s="151"/>
      <c r="FC91" s="95" t="s">
        <v>36</v>
      </c>
      <c r="FD91" s="96">
        <f>SUM(FD11:FD90)</f>
        <v>0</v>
      </c>
      <c r="FE91" s="96"/>
      <c r="FF91" s="96">
        <f>SUM(FF11:FF90)</f>
        <v>0</v>
      </c>
      <c r="FG91" s="96">
        <f>SUM(FG11:FG90)</f>
        <v>0</v>
      </c>
      <c r="FH91" s="96">
        <f>SUM(FH11:FH90)</f>
        <v>0</v>
      </c>
      <c r="FJ91" s="95" t="s">
        <v>36</v>
      </c>
      <c r="FK91" s="96">
        <f>SUM(FK11:FK90)</f>
        <v>0</v>
      </c>
      <c r="FL91" s="96"/>
      <c r="FM91" s="96">
        <f>SUM(FM11:FM90)</f>
        <v>0</v>
      </c>
      <c r="FN91" s="96">
        <f>SUM(FN11:FN90)</f>
        <v>0</v>
      </c>
      <c r="FO91" s="96">
        <f>SUM(FO11:FO90)</f>
        <v>0</v>
      </c>
      <c r="FQ91" s="95" t="s">
        <v>36</v>
      </c>
      <c r="FR91" s="96">
        <f>SUM(FR11:FR90)</f>
        <v>0</v>
      </c>
      <c r="FS91" s="96"/>
      <c r="FT91" s="96">
        <f>SUM(FT11:FT90)</f>
        <v>0</v>
      </c>
      <c r="FU91" s="96">
        <f>SUM(FU11:FU90)</f>
        <v>0</v>
      </c>
      <c r="FV91" s="96">
        <f>SUM(FV11:FV90)</f>
        <v>0</v>
      </c>
      <c r="FX91" s="95" t="s">
        <v>36</v>
      </c>
      <c r="FY91" s="96">
        <f>SUM(FY11:FY90)</f>
        <v>0</v>
      </c>
      <c r="FZ91" s="96"/>
      <c r="GA91" s="96">
        <f>SUM(GA11:GA90)</f>
        <v>0</v>
      </c>
      <c r="GB91" s="96">
        <f>SUM(GB11:GB90)</f>
        <v>0</v>
      </c>
      <c r="GC91" s="96">
        <f>SUM(GC11:GC90)</f>
        <v>0</v>
      </c>
    </row>
    <row r="92" spans="2:185" x14ac:dyDescent="0.25">
      <c r="L92" s="97"/>
      <c r="M92" s="98"/>
      <c r="N92" s="98"/>
      <c r="O92" s="98"/>
      <c r="P92" s="98"/>
      <c r="Q92" s="73"/>
      <c r="T92" s="97"/>
      <c r="U92" s="98"/>
      <c r="V92" s="98"/>
      <c r="W92" s="98"/>
      <c r="X92" s="98"/>
      <c r="Y92" s="73"/>
      <c r="AB92" s="97"/>
      <c r="AC92" s="98"/>
      <c r="AD92" s="98"/>
      <c r="AE92" s="98"/>
      <c r="AF92" s="98"/>
      <c r="AG92" s="73"/>
      <c r="AJ92" s="97"/>
      <c r="AK92" s="98"/>
      <c r="AL92" s="98"/>
      <c r="AM92" s="98"/>
      <c r="AN92" s="98"/>
      <c r="AO92" s="73"/>
      <c r="AR92" s="97"/>
      <c r="AS92" s="98"/>
      <c r="AT92" s="98"/>
      <c r="AU92" s="98"/>
      <c r="AV92" s="98"/>
      <c r="AW92" s="98"/>
      <c r="AX92" s="98"/>
      <c r="AY92" s="73"/>
      <c r="BB92" s="97"/>
      <c r="BC92" s="98"/>
      <c r="BD92" s="98"/>
      <c r="BE92" s="98"/>
      <c r="BF92" s="98"/>
      <c r="BI92" s="97"/>
      <c r="BJ92" s="98"/>
      <c r="BK92" s="98"/>
      <c r="BL92" s="98"/>
      <c r="BM92" s="98"/>
      <c r="BP92" s="97"/>
      <c r="BQ92" s="98"/>
      <c r="BR92" s="98"/>
      <c r="BS92" s="98"/>
      <c r="BT92" s="98"/>
      <c r="BW92" s="97"/>
      <c r="BX92" s="98"/>
      <c r="BY92" s="98"/>
      <c r="BZ92" s="98"/>
      <c r="CA92" s="98"/>
      <c r="CD92" s="97"/>
      <c r="CE92" s="98"/>
      <c r="CF92" s="98"/>
      <c r="CG92" s="98"/>
      <c r="CH92" s="98"/>
      <c r="CJ92" s="97"/>
      <c r="CK92" s="98"/>
      <c r="CL92" s="98"/>
      <c r="CM92" s="98"/>
      <c r="CN92" s="98"/>
      <c r="CP92" s="97"/>
      <c r="CQ92" s="98"/>
      <c r="CR92" s="98"/>
      <c r="CS92" s="98"/>
      <c r="CT92" s="98"/>
      <c r="CY92" s="98"/>
    </row>
    <row r="93" spans="2:185" x14ac:dyDescent="0.25">
      <c r="L93" s="99"/>
      <c r="M93" s="73"/>
      <c r="N93" s="73"/>
      <c r="O93" s="73"/>
      <c r="P93" s="73"/>
      <c r="Q93" s="73"/>
      <c r="T93" s="99"/>
      <c r="U93" s="73"/>
      <c r="V93" s="73"/>
      <c r="W93" s="73"/>
      <c r="X93" s="73"/>
      <c r="Y93" s="73"/>
      <c r="AB93" s="99"/>
      <c r="AC93" s="73"/>
      <c r="AD93" s="73"/>
      <c r="AE93" s="73"/>
      <c r="AF93" s="73"/>
      <c r="AG93" s="73"/>
      <c r="AJ93" s="99"/>
      <c r="AK93" s="73"/>
      <c r="AL93" s="73"/>
      <c r="AM93" s="73"/>
      <c r="AN93" s="73"/>
      <c r="AO93" s="73"/>
      <c r="AR93" s="99"/>
      <c r="AS93" s="73"/>
      <c r="AT93" s="73"/>
      <c r="AU93" s="73"/>
      <c r="AV93" s="73"/>
      <c r="AW93" s="73"/>
      <c r="AX93" s="73"/>
      <c r="AY93" s="73"/>
      <c r="BB93" s="99"/>
      <c r="BC93" s="73"/>
      <c r="BD93" s="73"/>
      <c r="BE93" s="73"/>
      <c r="BF93" s="73"/>
      <c r="BI93" s="99"/>
      <c r="BJ93" s="73"/>
      <c r="BK93" s="73"/>
      <c r="BL93" s="73"/>
      <c r="BM93" s="73"/>
      <c r="BP93" s="99"/>
      <c r="BQ93" s="73"/>
      <c r="BR93" s="73"/>
      <c r="BS93" s="73"/>
      <c r="BT93" s="73"/>
      <c r="BW93" s="99"/>
      <c r="BX93" s="73"/>
      <c r="BY93" s="73"/>
      <c r="BZ93" s="73"/>
      <c r="CA93" s="73"/>
      <c r="CD93" s="99"/>
      <c r="CE93" s="73"/>
      <c r="CF93" s="73"/>
      <c r="CG93" s="73"/>
      <c r="CH93" s="73"/>
      <c r="CJ93" s="99"/>
      <c r="CK93" s="73"/>
      <c r="CL93" s="73"/>
      <c r="CM93" s="73"/>
      <c r="CN93" s="73"/>
      <c r="CP93" s="99"/>
      <c r="CQ93" s="73"/>
      <c r="CR93" s="73"/>
      <c r="CS93" s="73"/>
      <c r="CT93" s="73"/>
      <c r="CY93" s="73"/>
    </row>
    <row r="94" spans="2:185" x14ac:dyDescent="0.25">
      <c r="L94" s="151"/>
      <c r="M94" s="151"/>
      <c r="N94" s="151"/>
      <c r="O94" s="151"/>
      <c r="P94" s="151"/>
      <c r="Q94" s="151"/>
      <c r="R94" s="151"/>
      <c r="T94" s="151"/>
      <c r="U94" s="151"/>
      <c r="V94" s="151"/>
      <c r="W94" s="151"/>
      <c r="X94" s="151"/>
      <c r="Y94" s="151"/>
      <c r="Z94" s="151"/>
      <c r="AB94" s="151"/>
      <c r="AC94" s="151"/>
      <c r="AD94" s="151"/>
      <c r="AE94" s="151"/>
      <c r="AF94" s="151"/>
      <c r="AG94" s="151"/>
      <c r="AH94" s="151"/>
      <c r="AJ94" s="151"/>
      <c r="AK94" s="151"/>
      <c r="AL94" s="151"/>
      <c r="AM94" s="151"/>
      <c r="AN94" s="151"/>
      <c r="AO94" s="151"/>
      <c r="AP94" s="151"/>
      <c r="AR94" s="151"/>
      <c r="AS94" s="151"/>
      <c r="AT94" s="151"/>
      <c r="AU94" s="151"/>
      <c r="AV94" s="151"/>
      <c r="AW94" s="151"/>
      <c r="AX94" s="151"/>
      <c r="AY94" s="151"/>
      <c r="AZ94" s="151"/>
      <c r="BB94" s="151"/>
      <c r="BC94" s="151"/>
      <c r="BD94" s="151"/>
      <c r="BE94" s="151"/>
      <c r="BF94" s="151"/>
      <c r="BG94" s="151"/>
      <c r="BI94" s="151"/>
      <c r="BJ94" s="151"/>
      <c r="BK94" s="151"/>
      <c r="BL94" s="151"/>
      <c r="BM94" s="151"/>
      <c r="BN94" s="151"/>
      <c r="BP94" s="151"/>
      <c r="BQ94" s="151"/>
      <c r="BR94" s="151"/>
      <c r="BS94" s="151"/>
      <c r="BT94" s="151"/>
      <c r="BU94" s="151"/>
      <c r="BW94" s="151"/>
      <c r="BX94" s="151"/>
      <c r="BY94" s="151"/>
      <c r="BZ94" s="151"/>
      <c r="CA94" s="151"/>
      <c r="CB94" s="151"/>
      <c r="CD94" s="151"/>
      <c r="CE94" s="151"/>
      <c r="CF94" s="151"/>
      <c r="CG94" s="151"/>
      <c r="CH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Y94" s="151"/>
    </row>
    <row r="95" spans="2:185" x14ac:dyDescent="0.25">
      <c r="L95" s="151"/>
      <c r="M95" s="151"/>
      <c r="N95" s="151"/>
      <c r="O95" s="151"/>
      <c r="P95" s="151"/>
      <c r="Q95" s="151"/>
      <c r="R95" s="151"/>
      <c r="T95" s="151"/>
      <c r="U95" s="151"/>
      <c r="V95" s="151"/>
      <c r="W95" s="151"/>
      <c r="X95" s="151"/>
      <c r="Y95" s="151"/>
      <c r="Z95" s="151"/>
      <c r="AB95" s="151"/>
      <c r="AC95" s="151"/>
      <c r="AD95" s="151"/>
      <c r="AE95" s="151"/>
      <c r="AF95" s="151"/>
      <c r="AG95" s="151"/>
      <c r="AH95" s="151"/>
      <c r="AJ95" s="151"/>
      <c r="AK95" s="151"/>
      <c r="AL95" s="151"/>
      <c r="AM95" s="151"/>
      <c r="AN95" s="151"/>
      <c r="AO95" s="151"/>
      <c r="AP95" s="151"/>
      <c r="AR95" s="151"/>
      <c r="AS95" s="151"/>
      <c r="AT95" s="151"/>
      <c r="AU95" s="151"/>
      <c r="AV95" s="151"/>
      <c r="AW95" s="151"/>
      <c r="AX95" s="151"/>
      <c r="AY95" s="151"/>
      <c r="AZ95" s="151"/>
      <c r="BB95" s="151"/>
      <c r="BC95" s="151"/>
      <c r="BD95" s="151"/>
      <c r="BE95" s="151"/>
      <c r="BF95" s="151"/>
      <c r="BG95" s="151"/>
      <c r="BI95" s="151"/>
      <c r="BJ95" s="151"/>
      <c r="BK95" s="151"/>
      <c r="BL95" s="151"/>
      <c r="BM95" s="151"/>
      <c r="BN95" s="151"/>
      <c r="BP95" s="151"/>
      <c r="BQ95" s="151"/>
      <c r="BR95" s="151"/>
      <c r="BS95" s="151"/>
      <c r="BT95" s="151"/>
      <c r="BU95" s="151"/>
      <c r="BW95" s="151"/>
      <c r="BX95" s="151"/>
      <c r="BY95" s="151"/>
      <c r="BZ95" s="151"/>
      <c r="CA95" s="151"/>
      <c r="CB95" s="151"/>
      <c r="CD95" s="151"/>
      <c r="CE95" s="151"/>
      <c r="CF95" s="151"/>
      <c r="CG95" s="151"/>
      <c r="CH95" s="151"/>
      <c r="CJ95" s="151"/>
      <c r="CK95" s="151"/>
      <c r="CL95" s="151"/>
      <c r="CM95" s="151"/>
      <c r="CN95" s="151"/>
      <c r="CO95" s="151"/>
      <c r="CP95" s="151"/>
      <c r="CQ95" s="151"/>
      <c r="CR95" s="151"/>
      <c r="CS95" s="151"/>
      <c r="CT95" s="151"/>
      <c r="CU95" s="151"/>
      <c r="CY95" s="151"/>
    </row>
    <row r="96" spans="2:185" x14ac:dyDescent="0.25">
      <c r="L96" s="151"/>
      <c r="M96" s="151"/>
      <c r="N96" s="151"/>
      <c r="O96" s="151"/>
      <c r="P96" s="151"/>
      <c r="Q96" s="151"/>
      <c r="R96" s="151"/>
      <c r="T96" s="151"/>
      <c r="U96" s="151"/>
      <c r="V96" s="151"/>
      <c r="W96" s="151"/>
      <c r="X96" s="151"/>
      <c r="Y96" s="151"/>
      <c r="Z96" s="151"/>
      <c r="AB96" s="151"/>
      <c r="AC96" s="151"/>
      <c r="AD96" s="151"/>
      <c r="AE96" s="151"/>
      <c r="AF96" s="151"/>
      <c r="AG96" s="151"/>
      <c r="AH96" s="151"/>
      <c r="AJ96" s="151"/>
      <c r="AK96" s="151"/>
      <c r="AL96" s="151"/>
      <c r="AM96" s="151"/>
      <c r="AN96" s="151"/>
      <c r="AO96" s="151"/>
      <c r="AP96" s="151"/>
      <c r="AR96" s="151"/>
      <c r="AS96" s="151"/>
      <c r="AT96" s="151"/>
      <c r="AU96" s="151"/>
      <c r="AV96" s="151"/>
      <c r="AW96" s="151"/>
      <c r="AX96" s="151"/>
      <c r="AY96" s="151"/>
      <c r="AZ96" s="151"/>
      <c r="BB96" s="151"/>
      <c r="BC96" s="151"/>
      <c r="BD96" s="151"/>
      <c r="BE96" s="151"/>
      <c r="BF96" s="151"/>
      <c r="BG96" s="151"/>
      <c r="BI96" s="151"/>
      <c r="BJ96" s="151"/>
      <c r="BK96" s="151"/>
      <c r="BL96" s="151"/>
      <c r="BM96" s="151"/>
      <c r="BN96" s="151"/>
      <c r="BP96" s="151"/>
      <c r="BQ96" s="151"/>
      <c r="BR96" s="151"/>
      <c r="BS96" s="151"/>
      <c r="BT96" s="151"/>
      <c r="BU96" s="151"/>
      <c r="BW96" s="151"/>
      <c r="BX96" s="151"/>
      <c r="BY96" s="151"/>
      <c r="BZ96" s="151"/>
      <c r="CA96" s="151"/>
      <c r="CB96" s="151"/>
      <c r="CD96" s="151"/>
      <c r="CE96" s="151"/>
      <c r="CF96" s="151"/>
      <c r="CG96" s="151"/>
      <c r="CH96" s="151"/>
      <c r="CJ96" s="151"/>
      <c r="CK96" s="151"/>
      <c r="CL96" s="151"/>
      <c r="CM96" s="151"/>
      <c r="CN96" s="151"/>
      <c r="CO96" s="151"/>
      <c r="CP96" s="151"/>
      <c r="CQ96" s="151"/>
      <c r="CR96" s="151"/>
      <c r="CS96" s="151"/>
      <c r="CT96" s="151"/>
      <c r="CU96" s="151"/>
      <c r="CY96" s="151"/>
    </row>
    <row r="97" spans="12:103" x14ac:dyDescent="0.25">
      <c r="L97" s="151"/>
      <c r="M97" s="151"/>
      <c r="N97" s="151"/>
      <c r="O97" s="151"/>
      <c r="P97" s="151"/>
      <c r="Q97" s="151"/>
      <c r="R97" s="151"/>
      <c r="T97" s="151"/>
      <c r="U97" s="151"/>
      <c r="V97" s="151"/>
      <c r="W97" s="151"/>
      <c r="X97" s="151"/>
      <c r="Y97" s="151"/>
      <c r="Z97" s="151"/>
      <c r="AB97" s="151"/>
      <c r="AC97" s="151"/>
      <c r="AD97" s="151"/>
      <c r="AE97" s="151"/>
      <c r="AF97" s="151"/>
      <c r="AG97" s="151"/>
      <c r="AH97" s="151"/>
      <c r="AJ97" s="151"/>
      <c r="AK97" s="151"/>
      <c r="AL97" s="151"/>
      <c r="AM97" s="151"/>
      <c r="AN97" s="151"/>
      <c r="AO97" s="151"/>
      <c r="AP97" s="151"/>
      <c r="AR97" s="151"/>
      <c r="AS97" s="151"/>
      <c r="AT97" s="151"/>
      <c r="AU97" s="151"/>
      <c r="AV97" s="151"/>
      <c r="AW97" s="151"/>
      <c r="AX97" s="151"/>
      <c r="AY97" s="151"/>
      <c r="AZ97" s="151"/>
      <c r="BB97" s="151"/>
      <c r="BC97" s="151"/>
      <c r="BD97" s="151"/>
      <c r="BE97" s="151"/>
      <c r="BF97" s="151"/>
      <c r="BG97" s="151"/>
      <c r="BI97" s="151"/>
      <c r="BJ97" s="151"/>
      <c r="BK97" s="151"/>
      <c r="BL97" s="151"/>
      <c r="BM97" s="151"/>
      <c r="BN97" s="151"/>
      <c r="BP97" s="151"/>
      <c r="BQ97" s="151"/>
      <c r="BR97" s="151"/>
      <c r="BS97" s="151"/>
      <c r="BT97" s="151"/>
      <c r="BU97" s="151"/>
      <c r="BW97" s="151"/>
      <c r="BX97" s="151"/>
      <c r="BY97" s="151"/>
      <c r="BZ97" s="151"/>
      <c r="CA97" s="151"/>
      <c r="CB97" s="151"/>
      <c r="CD97" s="151"/>
      <c r="CE97" s="151"/>
      <c r="CF97" s="151"/>
      <c r="CG97" s="151"/>
      <c r="CH97" s="151"/>
      <c r="CJ97" s="151"/>
      <c r="CK97" s="151"/>
      <c r="CL97" s="151"/>
      <c r="CM97" s="151"/>
      <c r="CN97" s="151"/>
      <c r="CO97" s="151"/>
      <c r="CP97" s="151"/>
      <c r="CQ97" s="151"/>
      <c r="CR97" s="151"/>
      <c r="CS97" s="151"/>
      <c r="CT97" s="151"/>
      <c r="CU97" s="151"/>
      <c r="CY97" s="151"/>
    </row>
    <row r="98" spans="12:103" x14ac:dyDescent="0.25">
      <c r="L98" s="151"/>
      <c r="M98" s="151"/>
      <c r="N98" s="151"/>
      <c r="O98" s="151"/>
      <c r="P98" s="151"/>
      <c r="Q98" s="151"/>
      <c r="R98" s="151"/>
      <c r="T98" s="151"/>
      <c r="U98" s="151"/>
      <c r="V98" s="151"/>
      <c r="W98" s="151"/>
      <c r="X98" s="151"/>
      <c r="Y98" s="151"/>
      <c r="Z98" s="151"/>
      <c r="AB98" s="151"/>
      <c r="AC98" s="151"/>
      <c r="AD98" s="151"/>
      <c r="AE98" s="151"/>
      <c r="AF98" s="151"/>
      <c r="AG98" s="151"/>
      <c r="AH98" s="151"/>
      <c r="AJ98" s="151"/>
      <c r="AK98" s="151"/>
      <c r="AL98" s="151"/>
      <c r="AM98" s="151"/>
      <c r="AN98" s="151"/>
      <c r="AO98" s="151"/>
      <c r="AP98" s="151"/>
      <c r="AR98" s="151"/>
      <c r="AS98" s="151"/>
      <c r="AT98" s="151"/>
      <c r="AU98" s="151"/>
      <c r="AV98" s="151"/>
      <c r="AW98" s="151"/>
      <c r="AX98" s="151"/>
      <c r="AY98" s="151"/>
      <c r="AZ98" s="151"/>
      <c r="BB98" s="151"/>
      <c r="BC98" s="151"/>
      <c r="BD98" s="151"/>
      <c r="BE98" s="151"/>
      <c r="BF98" s="151"/>
      <c r="BG98" s="151"/>
      <c r="BI98" s="151"/>
      <c r="BJ98" s="151"/>
      <c r="BK98" s="151"/>
      <c r="BL98" s="151"/>
      <c r="BM98" s="151"/>
      <c r="BN98" s="151"/>
      <c r="BP98" s="151"/>
      <c r="BQ98" s="151"/>
      <c r="BR98" s="151"/>
      <c r="BS98" s="151"/>
      <c r="BT98" s="151"/>
      <c r="BU98" s="151"/>
      <c r="BW98" s="151"/>
      <c r="BX98" s="151"/>
      <c r="BY98" s="151"/>
      <c r="BZ98" s="151"/>
      <c r="CA98" s="151"/>
      <c r="CB98" s="151"/>
      <c r="CD98" s="151"/>
      <c r="CE98" s="151"/>
      <c r="CF98" s="151"/>
      <c r="CG98" s="151"/>
      <c r="CH98" s="151"/>
      <c r="CJ98" s="151"/>
      <c r="CK98" s="151"/>
      <c r="CL98" s="151"/>
      <c r="CM98" s="151"/>
      <c r="CN98" s="151"/>
      <c r="CO98" s="151"/>
      <c r="CP98" s="151"/>
      <c r="CQ98" s="151"/>
      <c r="CR98" s="151"/>
      <c r="CS98" s="151"/>
      <c r="CT98" s="151"/>
      <c r="CU98" s="151"/>
      <c r="CY98" s="151"/>
    </row>
    <row r="99" spans="12:103" x14ac:dyDescent="0.25">
      <c r="L99" s="151"/>
      <c r="M99" s="151"/>
      <c r="N99" s="151"/>
      <c r="O99" s="151"/>
      <c r="P99" s="151"/>
      <c r="Q99" s="151"/>
      <c r="R99" s="151"/>
      <c r="T99" s="151"/>
      <c r="U99" s="151"/>
      <c r="V99" s="151"/>
      <c r="W99" s="151"/>
      <c r="X99" s="151"/>
      <c r="Y99" s="151"/>
      <c r="Z99" s="151"/>
      <c r="AB99" s="151"/>
      <c r="AC99" s="151"/>
      <c r="AD99" s="151"/>
      <c r="AE99" s="151"/>
      <c r="AF99" s="151"/>
      <c r="AG99" s="151"/>
      <c r="AH99" s="151"/>
      <c r="AJ99" s="151"/>
      <c r="AK99" s="151"/>
      <c r="AL99" s="151"/>
      <c r="AM99" s="151"/>
      <c r="AN99" s="151"/>
      <c r="AO99" s="151"/>
      <c r="AP99" s="151"/>
      <c r="AR99" s="151"/>
      <c r="AS99" s="151"/>
      <c r="AT99" s="151"/>
      <c r="AU99" s="151"/>
      <c r="AV99" s="151"/>
      <c r="AW99" s="151"/>
      <c r="AX99" s="151"/>
      <c r="AY99" s="151"/>
      <c r="AZ99" s="151"/>
      <c r="BB99" s="151"/>
      <c r="BC99" s="151"/>
      <c r="BD99" s="151"/>
      <c r="BE99" s="151"/>
      <c r="BF99" s="151"/>
      <c r="BG99" s="151"/>
      <c r="BI99" s="151"/>
      <c r="BJ99" s="151"/>
      <c r="BK99" s="151"/>
      <c r="BL99" s="151"/>
      <c r="BM99" s="151"/>
      <c r="BN99" s="151"/>
      <c r="BP99" s="151"/>
      <c r="BQ99" s="151"/>
      <c r="BR99" s="151"/>
      <c r="BS99" s="151"/>
      <c r="BT99" s="151"/>
      <c r="BU99" s="151"/>
      <c r="BW99" s="151"/>
      <c r="BX99" s="151"/>
      <c r="BY99" s="151"/>
      <c r="BZ99" s="151"/>
      <c r="CA99" s="151"/>
      <c r="CB99" s="151"/>
      <c r="CD99" s="151"/>
      <c r="CE99" s="151"/>
      <c r="CF99" s="151"/>
      <c r="CG99" s="151"/>
      <c r="CH99" s="151"/>
      <c r="CJ99" s="151"/>
      <c r="CK99" s="151"/>
      <c r="CL99" s="151"/>
      <c r="CM99" s="151"/>
      <c r="CN99" s="151"/>
      <c r="CO99" s="151"/>
      <c r="CP99" s="151"/>
      <c r="CQ99" s="151"/>
      <c r="CR99" s="151"/>
      <c r="CS99" s="151"/>
      <c r="CT99" s="151"/>
      <c r="CU99" s="151"/>
      <c r="CY99" s="151"/>
    </row>
  </sheetData>
  <pageMargins left="0.75" right="0.75" top="0.75" bottom="0.75" header="0.25" footer="0.25"/>
  <pageSetup scale="55" fitToWidth="25" orientation="portrait" r:id="rId1"/>
  <headerFooter alignWithMargins="0"/>
  <colBreaks count="23" manualBreakCount="23">
    <brk id="10" max="1048575" man="1"/>
    <brk id="18" max="1048575" man="1"/>
    <brk id="26" max="1048575" man="1"/>
    <brk id="34" max="1048575" man="1"/>
    <brk id="42" max="1048575" man="1"/>
    <brk id="52" max="1048575" man="1"/>
    <brk id="59" max="1048575" man="1"/>
    <brk id="66" max="1048575" man="1"/>
    <brk id="73" max="1048575" man="1"/>
    <brk id="80" max="1048575" man="1"/>
    <brk id="86" max="1048575" man="1"/>
    <brk id="92" max="1048575" man="1"/>
    <brk id="106" max="1048575" man="1"/>
    <brk id="119" max="1048575" man="1"/>
    <brk id="125" max="1048575" man="1"/>
    <brk id="132" max="1048575" man="1"/>
    <brk id="145" max="1048575" man="1"/>
    <brk id="151" max="1048575" man="1"/>
    <brk id="157" max="1048575" man="1"/>
    <brk id="164" max="1048575" man="1"/>
    <brk id="171" max="1048575" man="1"/>
    <brk id="178" max="1048575" man="1"/>
    <brk id="18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25BB-6C7B-4535-B18B-14AE48124AD2}">
  <dimension ref="A2:H195"/>
  <sheetViews>
    <sheetView topLeftCell="A121" zoomScale="70" zoomScaleNormal="70" zoomScaleSheetLayoutView="70" workbookViewId="0">
      <selection activeCell="H188" sqref="H188"/>
    </sheetView>
  </sheetViews>
  <sheetFormatPr defaultColWidth="10.7109375" defaultRowHeight="13.2" x14ac:dyDescent="0.25"/>
  <cols>
    <col min="1" max="4" width="15.85546875" style="39" customWidth="1"/>
    <col min="5" max="5" width="17.85546875" style="39" bestFit="1" customWidth="1"/>
    <col min="6" max="6" width="15.85546875" style="39" customWidth="1"/>
    <col min="7" max="7" width="17.7109375" style="39" customWidth="1"/>
    <col min="8" max="8" width="14.85546875" style="39" bestFit="1" customWidth="1"/>
    <col min="9" max="16384" width="10.7109375" style="39"/>
  </cols>
  <sheetData>
    <row r="2" spans="1:7" s="121" customFormat="1" ht="17.399999999999999" x14ac:dyDescent="0.3">
      <c r="A2" s="53" t="s">
        <v>139</v>
      </c>
      <c r="B2" s="53"/>
      <c r="C2" s="53"/>
      <c r="D2" s="53"/>
      <c r="E2" s="120"/>
      <c r="F2" s="120"/>
      <c r="G2" s="120"/>
    </row>
    <row r="3" spans="1:7" s="121" customFormat="1" ht="15.6" x14ac:dyDescent="0.3">
      <c r="A3" s="62" t="s">
        <v>134</v>
      </c>
      <c r="B3" s="62"/>
      <c r="C3" s="62"/>
      <c r="D3" s="62"/>
      <c r="E3" s="120"/>
      <c r="F3" s="120"/>
      <c r="G3" s="120"/>
    </row>
    <row r="4" spans="1:7" s="121" customFormat="1" ht="15.6" x14ac:dyDescent="0.3">
      <c r="A4" s="62"/>
      <c r="B4" s="62"/>
      <c r="C4" s="62"/>
      <c r="D4" s="62"/>
      <c r="E4" s="120"/>
      <c r="F4" s="120"/>
      <c r="G4" s="120"/>
    </row>
    <row r="5" spans="1:7" s="121" customFormat="1" x14ac:dyDescent="0.25">
      <c r="A5" s="123" t="s">
        <v>44</v>
      </c>
      <c r="B5" s="123"/>
      <c r="C5" s="124"/>
      <c r="D5" s="124"/>
      <c r="E5" s="124"/>
      <c r="F5" s="124"/>
      <c r="G5" s="124"/>
    </row>
    <row r="6" spans="1:7" s="121" customFormat="1" x14ac:dyDescent="0.25">
      <c r="A6" s="125" t="s">
        <v>136</v>
      </c>
      <c r="B6" s="125"/>
      <c r="C6" s="126"/>
      <c r="D6" s="126"/>
      <c r="E6" s="126"/>
      <c r="F6" s="126"/>
      <c r="G6" s="126"/>
    </row>
    <row r="7" spans="1:7" s="121" customFormat="1" x14ac:dyDescent="0.25">
      <c r="A7" s="74"/>
      <c r="B7" s="75"/>
      <c r="C7" s="75"/>
      <c r="D7" s="75"/>
      <c r="E7" s="75"/>
      <c r="F7" s="75"/>
      <c r="G7" s="75"/>
    </row>
    <row r="8" spans="1:7" s="121" customFormat="1" x14ac:dyDescent="0.25">
      <c r="A8" s="71" t="s">
        <v>51</v>
      </c>
      <c r="B8" s="39"/>
      <c r="C8" s="39"/>
      <c r="D8" s="39"/>
      <c r="E8" s="76" t="s">
        <v>31</v>
      </c>
      <c r="F8" s="76" t="s">
        <v>33</v>
      </c>
      <c r="G8" s="39"/>
    </row>
    <row r="9" spans="1:7" s="121" customFormat="1" ht="13.8" thickBot="1" x14ac:dyDescent="0.3">
      <c r="A9" s="79" t="s">
        <v>23</v>
      </c>
      <c r="B9" s="80" t="s">
        <v>21</v>
      </c>
      <c r="C9" s="80" t="s">
        <v>25</v>
      </c>
      <c r="D9" s="80" t="s">
        <v>32</v>
      </c>
      <c r="E9" s="80" t="s">
        <v>32</v>
      </c>
      <c r="F9" s="80" t="s">
        <v>32</v>
      </c>
      <c r="G9" s="80" t="s">
        <v>34</v>
      </c>
    </row>
    <row r="10" spans="1:7" s="121" customFormat="1" x14ac:dyDescent="0.25">
      <c r="A10" s="71"/>
      <c r="B10" s="76"/>
      <c r="C10" s="76"/>
      <c r="D10" s="76"/>
      <c r="E10" s="76"/>
      <c r="F10" s="76"/>
      <c r="G10" s="76"/>
    </row>
    <row r="11" spans="1:7" x14ac:dyDescent="0.25">
      <c r="A11" s="85">
        <v>44910</v>
      </c>
      <c r="B11" s="40">
        <v>0</v>
      </c>
      <c r="C11" s="87">
        <v>0</v>
      </c>
      <c r="D11" s="40">
        <v>13643600</v>
      </c>
      <c r="E11" s="40">
        <v>0</v>
      </c>
      <c r="F11" s="40">
        <v>-12066751.17</v>
      </c>
      <c r="G11" s="40">
        <f>SUM(B11,D11:F11)</f>
        <v>1576848.83</v>
      </c>
    </row>
    <row r="12" spans="1:7" x14ac:dyDescent="0.25">
      <c r="A12" s="85">
        <v>45092</v>
      </c>
      <c r="B12" s="40">
        <v>0</v>
      </c>
      <c r="C12" s="87">
        <v>0</v>
      </c>
      <c r="D12" s="40">
        <v>13643600</v>
      </c>
      <c r="E12" s="40">
        <v>0</v>
      </c>
      <c r="F12" s="40"/>
      <c r="G12" s="40">
        <f>SUM(B12,D12:F12)</f>
        <v>13643600</v>
      </c>
    </row>
    <row r="13" spans="1:7" hidden="1" x14ac:dyDescent="0.25">
      <c r="A13" s="74"/>
      <c r="B13" s="75"/>
      <c r="C13" s="75"/>
      <c r="D13" s="75"/>
      <c r="E13" s="75"/>
      <c r="F13" s="75"/>
      <c r="G13" s="75"/>
    </row>
    <row r="14" spans="1:7" hidden="1" x14ac:dyDescent="0.25">
      <c r="A14" s="71" t="s">
        <v>51</v>
      </c>
      <c r="E14" s="76" t="s">
        <v>31</v>
      </c>
      <c r="F14" s="76" t="s">
        <v>33</v>
      </c>
    </row>
    <row r="15" spans="1:7" ht="13.8" hidden="1" thickBot="1" x14ac:dyDescent="0.3">
      <c r="A15" s="79" t="s">
        <v>23</v>
      </c>
      <c r="B15" s="80" t="s">
        <v>21</v>
      </c>
      <c r="C15" s="80" t="s">
        <v>25</v>
      </c>
      <c r="D15" s="80" t="s">
        <v>32</v>
      </c>
      <c r="E15" s="80" t="s">
        <v>32</v>
      </c>
      <c r="F15" s="80" t="s">
        <v>32</v>
      </c>
      <c r="G15" s="80" t="s">
        <v>34</v>
      </c>
    </row>
    <row r="16" spans="1:7" hidden="1" x14ac:dyDescent="0.25">
      <c r="A16" s="71"/>
      <c r="B16" s="76"/>
      <c r="C16" s="76"/>
      <c r="D16" s="76"/>
      <c r="E16" s="76"/>
      <c r="F16" s="76"/>
      <c r="G16" s="76"/>
    </row>
    <row r="17" spans="1:7" hidden="1" x14ac:dyDescent="0.25">
      <c r="A17" s="85">
        <v>44910</v>
      </c>
      <c r="B17" s="40">
        <v>0</v>
      </c>
      <c r="C17" s="87">
        <v>0</v>
      </c>
      <c r="D17" s="40">
        <v>0</v>
      </c>
      <c r="E17" s="40">
        <v>0</v>
      </c>
      <c r="F17" s="40">
        <f>-D17</f>
        <v>0</v>
      </c>
      <c r="G17" s="40">
        <f>SUM(B17,D17:F17)</f>
        <v>0</v>
      </c>
    </row>
    <row r="18" spans="1:7" hidden="1" x14ac:dyDescent="0.25">
      <c r="A18" s="85">
        <v>45092</v>
      </c>
      <c r="B18" s="40">
        <v>0</v>
      </c>
      <c r="C18" s="87">
        <v>0</v>
      </c>
      <c r="D18" s="40">
        <v>0</v>
      </c>
      <c r="E18" s="40">
        <v>0</v>
      </c>
      <c r="F18" s="40">
        <f>-D18</f>
        <v>0</v>
      </c>
      <c r="G18" s="40">
        <f>SUM(B18,D18:F18)</f>
        <v>0</v>
      </c>
    </row>
    <row r="19" spans="1:7" s="121" customFormat="1" ht="15.6" x14ac:dyDescent="0.3">
      <c r="A19" s="62"/>
      <c r="B19" s="62"/>
      <c r="C19" s="62"/>
      <c r="D19" s="62"/>
      <c r="E19" s="120"/>
      <c r="F19" s="120"/>
      <c r="G19" s="120"/>
    </row>
    <row r="20" spans="1:7" x14ac:dyDescent="0.25">
      <c r="A20" s="123" t="s">
        <v>44</v>
      </c>
      <c r="B20" s="123"/>
      <c r="C20" s="124"/>
      <c r="D20" s="124"/>
      <c r="E20" s="124"/>
      <c r="F20" s="124"/>
      <c r="G20" s="124"/>
    </row>
    <row r="21" spans="1:7" x14ac:dyDescent="0.25">
      <c r="A21" s="125" t="s">
        <v>106</v>
      </c>
      <c r="B21" s="125"/>
      <c r="C21" s="126"/>
      <c r="D21" s="126"/>
      <c r="E21" s="126"/>
      <c r="F21" s="126"/>
      <c r="G21" s="126"/>
    </row>
    <row r="22" spans="1:7" x14ac:dyDescent="0.25">
      <c r="A22" s="74"/>
      <c r="B22" s="75"/>
      <c r="C22" s="75"/>
      <c r="D22" s="75"/>
      <c r="E22" s="75"/>
      <c r="F22" s="75"/>
      <c r="G22" s="75"/>
    </row>
    <row r="23" spans="1:7" x14ac:dyDescent="0.25">
      <c r="A23" s="71" t="s">
        <v>51</v>
      </c>
      <c r="E23" s="76" t="s">
        <v>31</v>
      </c>
      <c r="F23" s="76" t="s">
        <v>33</v>
      </c>
    </row>
    <row r="24" spans="1:7" ht="13.8" thickBot="1" x14ac:dyDescent="0.3">
      <c r="A24" s="79" t="s">
        <v>23</v>
      </c>
      <c r="B24" s="80" t="s">
        <v>21</v>
      </c>
      <c r="C24" s="80" t="s">
        <v>25</v>
      </c>
      <c r="D24" s="80" t="s">
        <v>32</v>
      </c>
      <c r="E24" s="80" t="s">
        <v>32</v>
      </c>
      <c r="F24" s="80" t="s">
        <v>32</v>
      </c>
      <c r="G24" s="80" t="s">
        <v>34</v>
      </c>
    </row>
    <row r="25" spans="1:7" x14ac:dyDescent="0.25">
      <c r="A25" s="71"/>
      <c r="B25" s="76"/>
      <c r="C25" s="76"/>
      <c r="D25" s="76"/>
      <c r="E25" s="76"/>
      <c r="F25" s="76"/>
      <c r="G25" s="76"/>
    </row>
    <row r="26" spans="1:7" x14ac:dyDescent="0.25">
      <c r="A26" s="85">
        <v>44910</v>
      </c>
      <c r="B26" s="40">
        <v>0</v>
      </c>
      <c r="C26" s="87">
        <v>0</v>
      </c>
      <c r="D26" s="40">
        <v>1637750</v>
      </c>
      <c r="E26" s="40">
        <v>0</v>
      </c>
      <c r="F26" s="40">
        <v>0</v>
      </c>
      <c r="G26" s="40">
        <f>SUM(B26,D26:F26)</f>
        <v>1637750</v>
      </c>
    </row>
    <row r="27" spans="1:7" x14ac:dyDescent="0.25">
      <c r="A27" s="85">
        <v>45092</v>
      </c>
      <c r="B27" s="40">
        <v>0</v>
      </c>
      <c r="C27" s="87">
        <v>0</v>
      </c>
      <c r="D27" s="40">
        <v>1637750</v>
      </c>
      <c r="E27" s="40">
        <v>0</v>
      </c>
      <c r="F27" s="40">
        <v>0</v>
      </c>
      <c r="G27" s="40">
        <f>SUM(B27,D27:F27)</f>
        <v>1637750</v>
      </c>
    </row>
    <row r="28" spans="1:7" s="121" customFormat="1" ht="15.6" x14ac:dyDescent="0.3">
      <c r="A28" s="62"/>
      <c r="B28" s="62"/>
      <c r="C28" s="62"/>
      <c r="D28" s="62"/>
      <c r="E28" s="120"/>
      <c r="F28" s="120"/>
      <c r="G28" s="120"/>
    </row>
    <row r="29" spans="1:7" x14ac:dyDescent="0.25">
      <c r="A29" s="123" t="s">
        <v>44</v>
      </c>
      <c r="B29" s="123"/>
      <c r="C29" s="124"/>
      <c r="D29" s="124"/>
      <c r="E29" s="124"/>
      <c r="F29" s="124"/>
      <c r="G29" s="124"/>
    </row>
    <row r="30" spans="1:7" x14ac:dyDescent="0.25">
      <c r="A30" s="125" t="s">
        <v>107</v>
      </c>
      <c r="B30" s="125"/>
      <c r="C30" s="126"/>
      <c r="D30" s="126"/>
      <c r="E30" s="126"/>
      <c r="F30" s="126"/>
      <c r="G30" s="126"/>
    </row>
    <row r="31" spans="1:7" x14ac:dyDescent="0.25">
      <c r="A31" s="74"/>
      <c r="B31" s="75"/>
      <c r="C31" s="75"/>
      <c r="D31" s="75"/>
      <c r="E31" s="75"/>
      <c r="F31" s="75"/>
      <c r="G31" s="75"/>
    </row>
    <row r="32" spans="1:7" x14ac:dyDescent="0.25">
      <c r="A32" s="71" t="s">
        <v>51</v>
      </c>
      <c r="E32" s="76" t="s">
        <v>31</v>
      </c>
      <c r="F32" s="76" t="s">
        <v>33</v>
      </c>
    </row>
    <row r="33" spans="1:7" ht="13.8" thickBot="1" x14ac:dyDescent="0.3">
      <c r="A33" s="79" t="s">
        <v>23</v>
      </c>
      <c r="B33" s="80" t="s">
        <v>21</v>
      </c>
      <c r="C33" s="80" t="s">
        <v>25</v>
      </c>
      <c r="D33" s="80" t="s">
        <v>32</v>
      </c>
      <c r="E33" s="80" t="s">
        <v>32</v>
      </c>
      <c r="F33" s="80" t="s">
        <v>32</v>
      </c>
      <c r="G33" s="80" t="s">
        <v>34</v>
      </c>
    </row>
    <row r="34" spans="1:7" x14ac:dyDescent="0.25">
      <c r="A34" s="71"/>
      <c r="B34" s="76"/>
      <c r="C34" s="76"/>
      <c r="D34" s="76"/>
      <c r="E34" s="76"/>
      <c r="F34" s="76"/>
      <c r="G34" s="76"/>
    </row>
    <row r="35" spans="1:7" x14ac:dyDescent="0.25">
      <c r="A35" s="85">
        <v>44910</v>
      </c>
      <c r="B35" s="40">
        <v>0</v>
      </c>
      <c r="C35" s="87">
        <v>0</v>
      </c>
      <c r="D35" s="40">
        <v>976778.875</v>
      </c>
      <c r="E35" s="40">
        <v>0</v>
      </c>
      <c r="F35" s="40">
        <v>0</v>
      </c>
      <c r="G35" s="40">
        <f>SUM(B35,D35:F35)</f>
        <v>976778.875</v>
      </c>
    </row>
    <row r="36" spans="1:7" x14ac:dyDescent="0.25">
      <c r="A36" s="85">
        <v>45092</v>
      </c>
      <c r="B36" s="40">
        <v>0</v>
      </c>
      <c r="C36" s="87">
        <v>0</v>
      </c>
      <c r="D36" s="40">
        <v>976778.875</v>
      </c>
      <c r="E36" s="40">
        <v>0</v>
      </c>
      <c r="F36" s="40">
        <v>0</v>
      </c>
      <c r="G36" s="40">
        <f>SUM(B36,D36:F36)</f>
        <v>976778.875</v>
      </c>
    </row>
    <row r="37" spans="1:7" s="121" customFormat="1" ht="15.6" x14ac:dyDescent="0.3">
      <c r="A37" s="62"/>
      <c r="B37" s="62"/>
      <c r="C37" s="62"/>
      <c r="D37" s="62"/>
      <c r="E37" s="120"/>
      <c r="F37" s="120"/>
      <c r="G37" s="120"/>
    </row>
    <row r="38" spans="1:7" x14ac:dyDescent="0.25">
      <c r="A38" s="123" t="s">
        <v>44</v>
      </c>
      <c r="B38" s="123"/>
      <c r="C38" s="124"/>
      <c r="D38" s="124"/>
      <c r="E38" s="124"/>
      <c r="F38" s="124"/>
      <c r="G38" s="124"/>
    </row>
    <row r="39" spans="1:7" x14ac:dyDescent="0.25">
      <c r="A39" s="125" t="s">
        <v>108</v>
      </c>
      <c r="B39" s="125"/>
      <c r="C39" s="126"/>
      <c r="D39" s="126"/>
      <c r="E39" s="126"/>
      <c r="F39" s="126"/>
      <c r="G39" s="126"/>
    </row>
    <row r="40" spans="1:7" x14ac:dyDescent="0.25">
      <c r="A40" s="74"/>
      <c r="B40" s="75"/>
      <c r="C40" s="75"/>
      <c r="D40" s="75"/>
      <c r="E40" s="75"/>
      <c r="F40" s="75"/>
      <c r="G40" s="75"/>
    </row>
    <row r="41" spans="1:7" x14ac:dyDescent="0.25">
      <c r="A41" s="71" t="s">
        <v>51</v>
      </c>
      <c r="E41" s="76" t="s">
        <v>31</v>
      </c>
      <c r="F41" s="76" t="s">
        <v>33</v>
      </c>
    </row>
    <row r="42" spans="1:7" ht="13.8" thickBot="1" x14ac:dyDescent="0.3">
      <c r="A42" s="79" t="s">
        <v>23</v>
      </c>
      <c r="B42" s="80" t="s">
        <v>21</v>
      </c>
      <c r="C42" s="80" t="s">
        <v>25</v>
      </c>
      <c r="D42" s="80" t="s">
        <v>32</v>
      </c>
      <c r="E42" s="80" t="s">
        <v>32</v>
      </c>
      <c r="F42" s="80" t="s">
        <v>32</v>
      </c>
      <c r="G42" s="80" t="s">
        <v>34</v>
      </c>
    </row>
    <row r="43" spans="1:7" x14ac:dyDescent="0.25">
      <c r="A43" s="71"/>
      <c r="B43" s="76"/>
      <c r="C43" s="76"/>
      <c r="D43" s="76"/>
      <c r="E43" s="76"/>
      <c r="F43" s="76"/>
      <c r="G43" s="76"/>
    </row>
    <row r="44" spans="1:7" x14ac:dyDescent="0.25">
      <c r="A44" s="85">
        <v>44910</v>
      </c>
      <c r="B44" s="40">
        <v>0</v>
      </c>
      <c r="C44" s="87">
        <v>0</v>
      </c>
      <c r="D44" s="40">
        <v>976971.2</v>
      </c>
      <c r="E44" s="40">
        <v>0</v>
      </c>
      <c r="F44" s="40">
        <v>0</v>
      </c>
      <c r="G44" s="40">
        <f>SUM(B44,D44:F44)</f>
        <v>976971.2</v>
      </c>
    </row>
    <row r="45" spans="1:7" x14ac:dyDescent="0.25">
      <c r="A45" s="85">
        <v>45092</v>
      </c>
      <c r="B45" s="40">
        <v>0</v>
      </c>
      <c r="C45" s="87">
        <v>0</v>
      </c>
      <c r="D45" s="40">
        <v>976971.2</v>
      </c>
      <c r="E45" s="40">
        <v>0</v>
      </c>
      <c r="F45" s="40">
        <v>0</v>
      </c>
      <c r="G45" s="40">
        <f>SUM(B45,D45:F45)</f>
        <v>976971.2</v>
      </c>
    </row>
    <row r="46" spans="1:7" s="121" customFormat="1" ht="15.6" x14ac:dyDescent="0.3">
      <c r="A46" s="62"/>
      <c r="B46" s="62"/>
      <c r="C46" s="62"/>
      <c r="D46" s="62"/>
      <c r="E46" s="120"/>
      <c r="F46" s="120"/>
      <c r="G46" s="120"/>
    </row>
    <row r="47" spans="1:7" x14ac:dyDescent="0.25">
      <c r="A47" s="123" t="s">
        <v>44</v>
      </c>
      <c r="B47" s="123"/>
      <c r="C47" s="124"/>
      <c r="D47" s="124"/>
      <c r="E47" s="124"/>
      <c r="F47" s="124"/>
      <c r="G47" s="124"/>
    </row>
    <row r="48" spans="1:7" x14ac:dyDescent="0.25">
      <c r="A48" s="125" t="s">
        <v>97</v>
      </c>
      <c r="B48" s="125"/>
      <c r="C48" s="126"/>
      <c r="D48" s="126"/>
      <c r="E48" s="126"/>
      <c r="F48" s="126"/>
      <c r="G48" s="126"/>
    </row>
    <row r="49" spans="1:7" x14ac:dyDescent="0.25">
      <c r="A49" s="74"/>
      <c r="B49" s="75"/>
      <c r="C49" s="75"/>
      <c r="D49" s="75"/>
      <c r="E49" s="75"/>
      <c r="F49" s="75"/>
      <c r="G49" s="75"/>
    </row>
    <row r="50" spans="1:7" x14ac:dyDescent="0.25">
      <c r="A50" s="71" t="s">
        <v>51</v>
      </c>
      <c r="E50" s="76" t="s">
        <v>31</v>
      </c>
      <c r="F50" s="76" t="s">
        <v>33</v>
      </c>
    </row>
    <row r="51" spans="1:7" ht="13.8" thickBot="1" x14ac:dyDescent="0.3">
      <c r="A51" s="79" t="s">
        <v>23</v>
      </c>
      <c r="B51" s="80" t="s">
        <v>21</v>
      </c>
      <c r="C51" s="80" t="s">
        <v>25</v>
      </c>
      <c r="D51" s="80" t="s">
        <v>32</v>
      </c>
      <c r="E51" s="80" t="s">
        <v>32</v>
      </c>
      <c r="F51" s="80" t="s">
        <v>32</v>
      </c>
      <c r="G51" s="80" t="s">
        <v>34</v>
      </c>
    </row>
    <row r="52" spans="1:7" x14ac:dyDescent="0.25">
      <c r="A52" s="71"/>
      <c r="B52" s="76"/>
      <c r="C52" s="76"/>
      <c r="D52" s="76"/>
      <c r="E52" s="76"/>
      <c r="F52" s="76"/>
      <c r="G52" s="76"/>
    </row>
    <row r="53" spans="1:7" x14ac:dyDescent="0.25">
      <c r="A53" s="85">
        <v>44910</v>
      </c>
      <c r="B53" s="40">
        <v>0</v>
      </c>
      <c r="C53" s="87">
        <v>0</v>
      </c>
      <c r="D53" s="40">
        <v>19862625</v>
      </c>
      <c r="E53" s="40">
        <v>0</v>
      </c>
      <c r="F53" s="40">
        <v>0</v>
      </c>
      <c r="G53" s="40">
        <f>SUM(B53,D53:F53)</f>
        <v>19862625</v>
      </c>
    </row>
    <row r="54" spans="1:7" x14ac:dyDescent="0.25">
      <c r="A54" s="85">
        <v>45092</v>
      </c>
      <c r="B54" s="40">
        <v>0</v>
      </c>
      <c r="C54" s="87">
        <v>0</v>
      </c>
      <c r="D54" s="40">
        <v>19862625</v>
      </c>
      <c r="E54" s="40">
        <v>0</v>
      </c>
      <c r="F54" s="40">
        <v>0</v>
      </c>
      <c r="G54" s="40">
        <f>SUM(B54,D54:F54)</f>
        <v>19862625</v>
      </c>
    </row>
    <row r="56" spans="1:7" x14ac:dyDescent="0.25">
      <c r="A56" s="123" t="s">
        <v>44</v>
      </c>
      <c r="B56" s="123"/>
      <c r="C56" s="124"/>
      <c r="D56" s="124"/>
      <c r="E56" s="124"/>
      <c r="F56" s="124"/>
      <c r="G56" s="124"/>
    </row>
    <row r="57" spans="1:7" x14ac:dyDescent="0.25">
      <c r="A57" s="125" t="s">
        <v>76</v>
      </c>
      <c r="B57" s="125"/>
      <c r="C57" s="126"/>
      <c r="D57" s="126"/>
      <c r="E57" s="126"/>
      <c r="F57" s="126"/>
      <c r="G57" s="126"/>
    </row>
    <row r="58" spans="1:7" x14ac:dyDescent="0.25">
      <c r="A58" s="74"/>
      <c r="B58" s="75"/>
      <c r="C58" s="75"/>
      <c r="D58" s="75"/>
      <c r="E58" s="75"/>
      <c r="F58" s="75"/>
      <c r="G58" s="75"/>
    </row>
    <row r="59" spans="1:7" x14ac:dyDescent="0.25">
      <c r="A59" s="71" t="s">
        <v>51</v>
      </c>
      <c r="E59" s="76" t="s">
        <v>31</v>
      </c>
      <c r="F59" s="76" t="s">
        <v>33</v>
      </c>
    </row>
    <row r="60" spans="1:7" ht="13.8" thickBot="1" x14ac:dyDescent="0.3">
      <c r="A60" s="79" t="s">
        <v>23</v>
      </c>
      <c r="B60" s="80" t="s">
        <v>21</v>
      </c>
      <c r="C60" s="80" t="s">
        <v>25</v>
      </c>
      <c r="D60" s="80" t="s">
        <v>32</v>
      </c>
      <c r="E60" s="80" t="s">
        <v>32</v>
      </c>
      <c r="F60" s="80" t="s">
        <v>32</v>
      </c>
      <c r="G60" s="80" t="s">
        <v>34</v>
      </c>
    </row>
    <row r="61" spans="1:7" x14ac:dyDescent="0.25">
      <c r="A61" s="71"/>
      <c r="B61" s="76"/>
      <c r="C61" s="76"/>
      <c r="D61" s="76"/>
      <c r="E61" s="76"/>
      <c r="F61" s="76"/>
      <c r="G61" s="76"/>
    </row>
    <row r="62" spans="1:7" x14ac:dyDescent="0.25">
      <c r="A62" s="85">
        <v>44910</v>
      </c>
      <c r="B62" s="40">
        <v>0</v>
      </c>
      <c r="C62" s="87">
        <v>0</v>
      </c>
      <c r="D62" s="40">
        <v>4750125</v>
      </c>
      <c r="E62" s="40">
        <v>0</v>
      </c>
      <c r="F62" s="40">
        <v>0</v>
      </c>
      <c r="G62" s="40">
        <f>SUM(B62,D62:F62)</f>
        <v>4750125</v>
      </c>
    </row>
    <row r="63" spans="1:7" x14ac:dyDescent="0.25">
      <c r="A63" s="85">
        <v>45092</v>
      </c>
      <c r="B63" s="40">
        <v>0</v>
      </c>
      <c r="C63" s="87">
        <v>0</v>
      </c>
      <c r="D63" s="40">
        <v>4750125</v>
      </c>
      <c r="E63" s="40">
        <v>0</v>
      </c>
      <c r="F63" s="40">
        <v>0</v>
      </c>
      <c r="G63" s="40">
        <f>SUM(B63,D63:F63)</f>
        <v>4750125</v>
      </c>
    </row>
    <row r="65" spans="1:7" x14ac:dyDescent="0.25">
      <c r="A65" s="123" t="s">
        <v>44</v>
      </c>
      <c r="B65" s="123"/>
      <c r="C65" s="124"/>
      <c r="D65" s="124"/>
      <c r="E65" s="124"/>
      <c r="F65" s="124"/>
      <c r="G65" s="124"/>
    </row>
    <row r="66" spans="1:7" x14ac:dyDescent="0.25">
      <c r="A66" s="125" t="s">
        <v>77</v>
      </c>
      <c r="B66" s="125"/>
      <c r="C66" s="126"/>
      <c r="D66" s="126"/>
      <c r="E66" s="126"/>
      <c r="F66" s="126"/>
      <c r="G66" s="126"/>
    </row>
    <row r="67" spans="1:7" x14ac:dyDescent="0.25">
      <c r="A67" s="74"/>
      <c r="B67" s="75"/>
      <c r="C67" s="75"/>
      <c r="D67" s="75"/>
      <c r="E67" s="75"/>
      <c r="F67" s="75"/>
      <c r="G67" s="75"/>
    </row>
    <row r="68" spans="1:7" x14ac:dyDescent="0.25">
      <c r="A68" s="71" t="s">
        <v>51</v>
      </c>
      <c r="E68" s="76" t="s">
        <v>31</v>
      </c>
      <c r="F68" s="76" t="s">
        <v>33</v>
      </c>
    </row>
    <row r="69" spans="1:7" ht="13.8" thickBot="1" x14ac:dyDescent="0.3">
      <c r="A69" s="79" t="s">
        <v>23</v>
      </c>
      <c r="B69" s="80" t="s">
        <v>21</v>
      </c>
      <c r="C69" s="80" t="s">
        <v>25</v>
      </c>
      <c r="D69" s="80" t="s">
        <v>32</v>
      </c>
      <c r="E69" s="80" t="s">
        <v>32</v>
      </c>
      <c r="F69" s="80" t="s">
        <v>32</v>
      </c>
      <c r="G69" s="80" t="s">
        <v>34</v>
      </c>
    </row>
    <row r="70" spans="1:7" x14ac:dyDescent="0.25">
      <c r="A70" s="71"/>
      <c r="B70" s="76"/>
      <c r="C70" s="76"/>
      <c r="D70" s="76"/>
      <c r="E70" s="76"/>
      <c r="F70" s="76"/>
      <c r="G70" s="76"/>
    </row>
    <row r="71" spans="1:7" x14ac:dyDescent="0.25">
      <c r="A71" s="85">
        <v>44910</v>
      </c>
      <c r="B71" s="40">
        <v>0</v>
      </c>
      <c r="C71" s="87">
        <v>0</v>
      </c>
      <c r="D71" s="40">
        <v>1460250</v>
      </c>
      <c r="E71" s="40">
        <v>0</v>
      </c>
      <c r="F71" s="40">
        <v>0</v>
      </c>
      <c r="G71" s="40">
        <f>SUM(B71,D71:F71)</f>
        <v>1460250</v>
      </c>
    </row>
    <row r="72" spans="1:7" x14ac:dyDescent="0.25">
      <c r="A72" s="85">
        <v>45092</v>
      </c>
      <c r="B72" s="40">
        <v>0</v>
      </c>
      <c r="C72" s="87">
        <v>0</v>
      </c>
      <c r="D72" s="40">
        <v>1460250</v>
      </c>
      <c r="E72" s="40">
        <v>0</v>
      </c>
      <c r="F72" s="40">
        <v>0</v>
      </c>
      <c r="G72" s="40">
        <f>SUM(B72,D72:F72)</f>
        <v>1460250</v>
      </c>
    </row>
    <row r="73" spans="1:7" x14ac:dyDescent="0.25">
      <c r="A73" s="64"/>
    </row>
    <row r="74" spans="1:7" x14ac:dyDescent="0.25">
      <c r="A74" s="123" t="s">
        <v>44</v>
      </c>
      <c r="B74" s="123"/>
      <c r="C74" s="124"/>
      <c r="D74" s="124"/>
      <c r="E74" s="124"/>
      <c r="F74" s="124"/>
      <c r="G74" s="124"/>
    </row>
    <row r="75" spans="1:7" x14ac:dyDescent="0.25">
      <c r="A75" s="125" t="s">
        <v>78</v>
      </c>
      <c r="B75" s="125"/>
      <c r="C75" s="126"/>
      <c r="D75" s="126"/>
      <c r="E75" s="126"/>
      <c r="F75" s="126"/>
      <c r="G75" s="126"/>
    </row>
    <row r="76" spans="1:7" x14ac:dyDescent="0.25">
      <c r="A76" s="74"/>
      <c r="B76" s="75"/>
      <c r="C76" s="75"/>
      <c r="D76" s="75"/>
      <c r="E76" s="75"/>
      <c r="F76" s="75"/>
      <c r="G76" s="75"/>
    </row>
    <row r="77" spans="1:7" x14ac:dyDescent="0.25">
      <c r="A77" s="71" t="s">
        <v>51</v>
      </c>
      <c r="E77" s="76" t="s">
        <v>31</v>
      </c>
      <c r="F77" s="76" t="s">
        <v>33</v>
      </c>
    </row>
    <row r="78" spans="1:7" ht="13.8" thickBot="1" x14ac:dyDescent="0.3">
      <c r="A78" s="79" t="s">
        <v>23</v>
      </c>
      <c r="B78" s="80" t="s">
        <v>21</v>
      </c>
      <c r="C78" s="80" t="s">
        <v>25</v>
      </c>
      <c r="D78" s="80" t="s">
        <v>32</v>
      </c>
      <c r="E78" s="80" t="s">
        <v>32</v>
      </c>
      <c r="F78" s="80" t="s">
        <v>32</v>
      </c>
      <c r="G78" s="80" t="s">
        <v>34</v>
      </c>
    </row>
    <row r="79" spans="1:7" x14ac:dyDescent="0.25">
      <c r="A79" s="71"/>
      <c r="B79" s="76"/>
      <c r="C79" s="76"/>
      <c r="D79" s="76"/>
      <c r="E79" s="76"/>
      <c r="F79" s="76"/>
      <c r="G79" s="76"/>
    </row>
    <row r="80" spans="1:7" x14ac:dyDescent="0.25">
      <c r="A80" s="85">
        <v>44910</v>
      </c>
      <c r="B80" s="40">
        <v>0</v>
      </c>
      <c r="C80" s="87">
        <v>0</v>
      </c>
      <c r="D80" s="40">
        <v>3425625</v>
      </c>
      <c r="E80" s="40">
        <v>0</v>
      </c>
      <c r="F80" s="40">
        <v>0</v>
      </c>
      <c r="G80" s="40">
        <f>SUM(B80,D80:F80)</f>
        <v>3425625</v>
      </c>
    </row>
    <row r="81" spans="1:7" x14ac:dyDescent="0.25">
      <c r="A81" s="85">
        <v>45092</v>
      </c>
      <c r="B81" s="40">
        <v>0</v>
      </c>
      <c r="C81" s="87">
        <v>0</v>
      </c>
      <c r="D81" s="40">
        <v>3425625</v>
      </c>
      <c r="E81" s="40">
        <v>0</v>
      </c>
      <c r="F81" s="40">
        <v>0</v>
      </c>
      <c r="G81" s="40">
        <f>SUM(B81,D81:F81)</f>
        <v>3425625</v>
      </c>
    </row>
    <row r="83" spans="1:7" x14ac:dyDescent="0.25">
      <c r="A83" s="123" t="s">
        <v>44</v>
      </c>
      <c r="B83" s="123"/>
      <c r="C83" s="124"/>
      <c r="D83" s="124"/>
      <c r="E83" s="124"/>
      <c r="F83" s="124"/>
      <c r="G83" s="124"/>
    </row>
    <row r="84" spans="1:7" x14ac:dyDescent="0.25">
      <c r="A84" s="125" t="s">
        <v>79</v>
      </c>
      <c r="B84" s="125"/>
      <c r="C84" s="126"/>
      <c r="D84" s="126"/>
      <c r="E84" s="126"/>
      <c r="F84" s="126"/>
      <c r="G84" s="126"/>
    </row>
    <row r="85" spans="1:7" x14ac:dyDescent="0.25">
      <c r="A85" s="74"/>
      <c r="B85" s="75"/>
      <c r="C85" s="75"/>
      <c r="D85" s="75"/>
      <c r="E85" s="75"/>
      <c r="F85" s="75"/>
      <c r="G85" s="75"/>
    </row>
    <row r="86" spans="1:7" x14ac:dyDescent="0.25">
      <c r="A86" s="71" t="s">
        <v>51</v>
      </c>
      <c r="E86" s="76" t="s">
        <v>31</v>
      </c>
      <c r="F86" s="76" t="s">
        <v>33</v>
      </c>
    </row>
    <row r="87" spans="1:7" ht="13.8" thickBot="1" x14ac:dyDescent="0.3">
      <c r="A87" s="79" t="s">
        <v>23</v>
      </c>
      <c r="B87" s="80" t="s">
        <v>21</v>
      </c>
      <c r="C87" s="80" t="s">
        <v>25</v>
      </c>
      <c r="D87" s="80" t="s">
        <v>32</v>
      </c>
      <c r="E87" s="80" t="s">
        <v>32</v>
      </c>
      <c r="F87" s="80" t="s">
        <v>32</v>
      </c>
      <c r="G87" s="80" t="s">
        <v>34</v>
      </c>
    </row>
    <row r="88" spans="1:7" x14ac:dyDescent="0.25">
      <c r="A88" s="71"/>
      <c r="B88" s="76"/>
      <c r="C88" s="76"/>
      <c r="D88" s="76"/>
      <c r="E88" s="76"/>
      <c r="F88" s="76"/>
      <c r="G88" s="76"/>
    </row>
    <row r="89" spans="1:7" x14ac:dyDescent="0.25">
      <c r="A89" s="85">
        <v>44910</v>
      </c>
      <c r="B89" s="40">
        <v>0</v>
      </c>
      <c r="C89" s="87">
        <v>0</v>
      </c>
      <c r="D89" s="40">
        <v>1655375</v>
      </c>
      <c r="E89" s="40">
        <v>0</v>
      </c>
      <c r="F89" s="40">
        <v>0</v>
      </c>
      <c r="G89" s="40">
        <f>SUM(B89,D89:F89)</f>
        <v>1655375</v>
      </c>
    </row>
    <row r="90" spans="1:7" x14ac:dyDescent="0.25">
      <c r="A90" s="85">
        <v>45092</v>
      </c>
      <c r="B90" s="40">
        <v>0</v>
      </c>
      <c r="C90" s="87">
        <v>0</v>
      </c>
      <c r="D90" s="40">
        <v>1655375</v>
      </c>
      <c r="E90" s="40">
        <v>0</v>
      </c>
      <c r="F90" s="40">
        <v>0</v>
      </c>
      <c r="G90" s="40">
        <f>SUM(B90,D90:F90)</f>
        <v>1655375</v>
      </c>
    </row>
    <row r="92" spans="1:7" x14ac:dyDescent="0.25">
      <c r="A92" s="123" t="s">
        <v>44</v>
      </c>
      <c r="B92" s="123"/>
      <c r="C92" s="124"/>
      <c r="D92" s="124"/>
      <c r="E92" s="124"/>
      <c r="F92" s="124"/>
      <c r="G92" s="124"/>
    </row>
    <row r="93" spans="1:7" x14ac:dyDescent="0.25">
      <c r="A93" s="125" t="s">
        <v>80</v>
      </c>
      <c r="B93" s="125"/>
      <c r="C93" s="126"/>
      <c r="D93" s="126"/>
      <c r="E93" s="126"/>
      <c r="F93" s="126"/>
      <c r="G93" s="126"/>
    </row>
    <row r="94" spans="1:7" x14ac:dyDescent="0.25">
      <c r="A94" s="74"/>
      <c r="B94" s="75"/>
      <c r="C94" s="75"/>
      <c r="D94" s="75"/>
      <c r="E94" s="75"/>
      <c r="F94" s="75"/>
      <c r="G94" s="75"/>
    </row>
    <row r="95" spans="1:7" x14ac:dyDescent="0.25">
      <c r="A95" s="71" t="s">
        <v>51</v>
      </c>
      <c r="E95" s="76" t="s">
        <v>31</v>
      </c>
      <c r="F95" s="76" t="s">
        <v>33</v>
      </c>
    </row>
    <row r="96" spans="1:7" ht="13.8" thickBot="1" x14ac:dyDescent="0.3">
      <c r="A96" s="79" t="s">
        <v>23</v>
      </c>
      <c r="B96" s="80" t="s">
        <v>21</v>
      </c>
      <c r="C96" s="80" t="s">
        <v>25</v>
      </c>
      <c r="D96" s="80" t="s">
        <v>32</v>
      </c>
      <c r="E96" s="80" t="s">
        <v>32</v>
      </c>
      <c r="F96" s="80" t="s">
        <v>32</v>
      </c>
      <c r="G96" s="80" t="s">
        <v>34</v>
      </c>
    </row>
    <row r="97" spans="1:7" x14ac:dyDescent="0.25">
      <c r="A97" s="71"/>
      <c r="B97" s="76"/>
      <c r="C97" s="76"/>
      <c r="D97" s="76"/>
      <c r="E97" s="76"/>
      <c r="F97" s="76"/>
      <c r="G97" s="76"/>
    </row>
    <row r="98" spans="1:7" x14ac:dyDescent="0.25">
      <c r="A98" s="85">
        <v>44910</v>
      </c>
      <c r="B98" s="40">
        <v>0</v>
      </c>
      <c r="C98" s="87">
        <v>0</v>
      </c>
      <c r="D98" s="40">
        <v>0</v>
      </c>
      <c r="E98" s="40">
        <v>0</v>
      </c>
      <c r="F98" s="40">
        <v>0</v>
      </c>
      <c r="G98" s="40">
        <f>SUM(B98,D98:F98)</f>
        <v>0</v>
      </c>
    </row>
    <row r="99" spans="1:7" x14ac:dyDescent="0.25">
      <c r="A99" s="85">
        <v>45092</v>
      </c>
      <c r="B99" s="40">
        <v>0</v>
      </c>
      <c r="C99" s="87">
        <v>0</v>
      </c>
      <c r="D99" s="40">
        <v>0</v>
      </c>
      <c r="E99" s="40">
        <v>0</v>
      </c>
      <c r="F99" s="40">
        <v>0</v>
      </c>
      <c r="G99" s="40">
        <f>SUM(B99,D99:F99)</f>
        <v>0</v>
      </c>
    </row>
    <row r="101" spans="1:7" x14ac:dyDescent="0.25">
      <c r="A101" s="123" t="s">
        <v>44</v>
      </c>
      <c r="B101" s="123"/>
      <c r="C101" s="124"/>
      <c r="D101" s="124"/>
      <c r="E101" s="124"/>
      <c r="F101" s="124"/>
      <c r="G101" s="124"/>
    </row>
    <row r="102" spans="1:7" x14ac:dyDescent="0.25">
      <c r="A102" s="125" t="s">
        <v>81</v>
      </c>
      <c r="B102" s="125"/>
      <c r="C102" s="126"/>
      <c r="D102" s="126"/>
      <c r="E102" s="126"/>
      <c r="F102" s="126"/>
      <c r="G102" s="126"/>
    </row>
    <row r="103" spans="1:7" x14ac:dyDescent="0.25">
      <c r="A103" s="74"/>
      <c r="B103" s="75"/>
      <c r="C103" s="75"/>
      <c r="D103" s="75"/>
      <c r="E103" s="75"/>
      <c r="F103" s="75"/>
      <c r="G103" s="75"/>
    </row>
    <row r="104" spans="1:7" x14ac:dyDescent="0.25">
      <c r="A104" s="71" t="s">
        <v>51</v>
      </c>
      <c r="E104" s="76" t="s">
        <v>31</v>
      </c>
      <c r="F104" s="76" t="s">
        <v>33</v>
      </c>
    </row>
    <row r="105" spans="1:7" ht="13.8" thickBot="1" x14ac:dyDescent="0.3">
      <c r="A105" s="79" t="s">
        <v>23</v>
      </c>
      <c r="B105" s="80" t="s">
        <v>21</v>
      </c>
      <c r="C105" s="80" t="s">
        <v>25</v>
      </c>
      <c r="D105" s="80" t="s">
        <v>32</v>
      </c>
      <c r="E105" s="80" t="s">
        <v>32</v>
      </c>
      <c r="F105" s="80" t="s">
        <v>32</v>
      </c>
      <c r="G105" s="80" t="s">
        <v>34</v>
      </c>
    </row>
    <row r="106" spans="1:7" x14ac:dyDescent="0.25">
      <c r="A106" s="71"/>
      <c r="B106" s="76"/>
      <c r="C106" s="76"/>
      <c r="D106" s="76"/>
      <c r="E106" s="76"/>
      <c r="F106" s="76"/>
      <c r="G106" s="76"/>
    </row>
    <row r="107" spans="1:7" x14ac:dyDescent="0.25">
      <c r="A107" s="85">
        <v>44910</v>
      </c>
      <c r="B107" s="40">
        <v>37000000</v>
      </c>
      <c r="C107" s="87">
        <v>0.05</v>
      </c>
      <c r="D107" s="40">
        <v>925000</v>
      </c>
      <c r="E107" s="40">
        <v>0</v>
      </c>
      <c r="F107" s="40">
        <v>0</v>
      </c>
      <c r="G107" s="40">
        <f>SUM(B107,D107:F107)</f>
        <v>37925000</v>
      </c>
    </row>
    <row r="108" spans="1:7" x14ac:dyDescent="0.25">
      <c r="A108" s="85">
        <v>45092</v>
      </c>
      <c r="B108" s="40">
        <v>0</v>
      </c>
      <c r="C108" s="87">
        <v>0</v>
      </c>
      <c r="D108" s="40">
        <v>0</v>
      </c>
      <c r="E108" s="40">
        <v>0</v>
      </c>
      <c r="F108" s="40">
        <v>0</v>
      </c>
      <c r="G108" s="40">
        <f>SUM(B108,D108:F108)</f>
        <v>0</v>
      </c>
    </row>
    <row r="109" spans="1:7" x14ac:dyDescent="0.25">
      <c r="A109" s="85"/>
      <c r="B109" s="40"/>
      <c r="C109" s="87"/>
      <c r="D109" s="40"/>
      <c r="E109" s="40"/>
      <c r="F109" s="40"/>
      <c r="G109" s="40"/>
    </row>
    <row r="110" spans="1:7" x14ac:dyDescent="0.25">
      <c r="A110" s="123" t="s">
        <v>44</v>
      </c>
      <c r="B110" s="123"/>
      <c r="C110" s="124"/>
      <c r="D110" s="124"/>
      <c r="E110" s="124"/>
      <c r="F110" s="124"/>
      <c r="G110" s="124"/>
    </row>
    <row r="111" spans="1:7" x14ac:dyDescent="0.25">
      <c r="A111" s="125" t="s">
        <v>82</v>
      </c>
      <c r="B111" s="125"/>
      <c r="C111" s="126"/>
      <c r="D111" s="126"/>
      <c r="E111" s="126"/>
      <c r="F111" s="126"/>
      <c r="G111" s="126"/>
    </row>
    <row r="112" spans="1:7" x14ac:dyDescent="0.25">
      <c r="A112" s="74"/>
      <c r="B112" s="75"/>
      <c r="C112" s="75"/>
      <c r="D112" s="75"/>
      <c r="E112" s="75"/>
      <c r="F112" s="75"/>
      <c r="G112" s="75"/>
    </row>
    <row r="113" spans="1:7" x14ac:dyDescent="0.25">
      <c r="A113" s="71" t="s">
        <v>51</v>
      </c>
      <c r="E113" s="76" t="s">
        <v>31</v>
      </c>
      <c r="F113" s="76" t="s">
        <v>33</v>
      </c>
    </row>
    <row r="114" spans="1:7" ht="13.8" thickBot="1" x14ac:dyDescent="0.3">
      <c r="A114" s="79" t="s">
        <v>23</v>
      </c>
      <c r="B114" s="80" t="s">
        <v>21</v>
      </c>
      <c r="C114" s="80" t="s">
        <v>25</v>
      </c>
      <c r="D114" s="80" t="s">
        <v>32</v>
      </c>
      <c r="E114" s="80" t="s">
        <v>32</v>
      </c>
      <c r="F114" s="80" t="s">
        <v>32</v>
      </c>
      <c r="G114" s="80" t="s">
        <v>34</v>
      </c>
    </row>
    <row r="115" spans="1:7" x14ac:dyDescent="0.25">
      <c r="A115" s="71"/>
      <c r="B115" s="76"/>
      <c r="C115" s="76"/>
      <c r="D115" s="76"/>
      <c r="E115" s="76"/>
      <c r="F115" s="76"/>
      <c r="G115" s="76"/>
    </row>
    <row r="116" spans="1:7" x14ac:dyDescent="0.25">
      <c r="A116" s="85">
        <v>44910</v>
      </c>
      <c r="B116" s="40">
        <v>0</v>
      </c>
      <c r="C116" s="87">
        <v>0</v>
      </c>
      <c r="D116" s="40">
        <v>0</v>
      </c>
      <c r="E116" s="40">
        <v>0</v>
      </c>
      <c r="F116" s="40">
        <v>0</v>
      </c>
      <c r="G116" s="40">
        <f>SUM(B116,D116:F116)</f>
        <v>0</v>
      </c>
    </row>
    <row r="117" spans="1:7" x14ac:dyDescent="0.25">
      <c r="A117" s="85">
        <v>45092</v>
      </c>
      <c r="B117" s="40">
        <v>0</v>
      </c>
      <c r="C117" s="87">
        <v>0</v>
      </c>
      <c r="D117" s="40">
        <v>0</v>
      </c>
      <c r="E117" s="40">
        <v>0</v>
      </c>
      <c r="F117" s="40">
        <v>0</v>
      </c>
      <c r="G117" s="40">
        <f>SUM(B117,D117:F117)</f>
        <v>0</v>
      </c>
    </row>
    <row r="119" spans="1:7" x14ac:dyDescent="0.25">
      <c r="A119" s="123" t="s">
        <v>44</v>
      </c>
      <c r="B119" s="123"/>
      <c r="C119" s="124"/>
      <c r="D119" s="124"/>
      <c r="E119" s="124"/>
      <c r="F119" s="124"/>
      <c r="G119" s="124"/>
    </row>
    <row r="120" spans="1:7" x14ac:dyDescent="0.25">
      <c r="A120" s="125" t="s">
        <v>83</v>
      </c>
      <c r="B120" s="125"/>
      <c r="C120" s="126"/>
      <c r="D120" s="126"/>
      <c r="E120" s="126"/>
      <c r="F120" s="126"/>
      <c r="G120" s="126"/>
    </row>
    <row r="121" spans="1:7" x14ac:dyDescent="0.25">
      <c r="A121" s="74"/>
      <c r="B121" s="75"/>
      <c r="C121" s="75"/>
      <c r="D121" s="75"/>
      <c r="E121" s="75"/>
      <c r="F121" s="75"/>
      <c r="G121" s="75"/>
    </row>
    <row r="122" spans="1:7" x14ac:dyDescent="0.25">
      <c r="A122" s="71" t="s">
        <v>51</v>
      </c>
      <c r="E122" s="76" t="s">
        <v>31</v>
      </c>
      <c r="F122" s="76" t="s">
        <v>33</v>
      </c>
    </row>
    <row r="123" spans="1:7" ht="13.8" thickBot="1" x14ac:dyDescent="0.3">
      <c r="A123" s="79" t="s">
        <v>23</v>
      </c>
      <c r="B123" s="80" t="s">
        <v>21</v>
      </c>
      <c r="C123" s="80" t="s">
        <v>25</v>
      </c>
      <c r="D123" s="80" t="s">
        <v>32</v>
      </c>
      <c r="E123" s="80" t="s">
        <v>32</v>
      </c>
      <c r="F123" s="80" t="s">
        <v>32</v>
      </c>
      <c r="G123" s="80" t="s">
        <v>34</v>
      </c>
    </row>
    <row r="124" spans="1:7" x14ac:dyDescent="0.25">
      <c r="A124" s="71"/>
      <c r="B124" s="76"/>
      <c r="C124" s="76"/>
      <c r="D124" s="76"/>
      <c r="E124" s="76"/>
      <c r="F124" s="76"/>
      <c r="G124" s="76"/>
    </row>
    <row r="125" spans="1:7" x14ac:dyDescent="0.25">
      <c r="A125" s="85">
        <v>44910</v>
      </c>
      <c r="B125" s="40">
        <v>0</v>
      </c>
      <c r="C125" s="87">
        <v>0</v>
      </c>
      <c r="D125" s="40">
        <v>240967.5</v>
      </c>
      <c r="E125" s="40">
        <v>0</v>
      </c>
      <c r="F125" s="40">
        <v>0</v>
      </c>
      <c r="G125" s="40">
        <f>SUM(B125,D125:F125)</f>
        <v>240967.5</v>
      </c>
    </row>
    <row r="126" spans="1:7" x14ac:dyDescent="0.25">
      <c r="A126" s="85">
        <v>45092</v>
      </c>
      <c r="B126" s="40">
        <v>3648670.6999999997</v>
      </c>
      <c r="C126" s="87">
        <v>5.7000000000000002E-2</v>
      </c>
      <c r="D126" s="40">
        <v>240967.5</v>
      </c>
      <c r="E126" s="40">
        <v>4806329.3000000007</v>
      </c>
      <c r="F126" s="40">
        <v>0</v>
      </c>
      <c r="G126" s="40">
        <f>SUM(B126,D126:F126)</f>
        <v>8695967.5</v>
      </c>
    </row>
    <row r="128" spans="1:7" hidden="1" x14ac:dyDescent="0.25">
      <c r="A128" s="123" t="s">
        <v>44</v>
      </c>
      <c r="B128" s="123"/>
      <c r="C128" s="124"/>
      <c r="D128" s="124"/>
      <c r="E128" s="124"/>
      <c r="F128" s="124"/>
      <c r="G128" s="124"/>
    </row>
    <row r="129" spans="1:7" hidden="1" x14ac:dyDescent="0.25">
      <c r="A129" s="125" t="s">
        <v>84</v>
      </c>
      <c r="B129" s="125"/>
      <c r="C129" s="126"/>
      <c r="D129" s="126"/>
      <c r="E129" s="126"/>
      <c r="F129" s="126"/>
      <c r="G129" s="126"/>
    </row>
    <row r="130" spans="1:7" hidden="1" x14ac:dyDescent="0.25">
      <c r="A130" s="74"/>
      <c r="B130" s="75"/>
      <c r="C130" s="75"/>
      <c r="D130" s="75"/>
      <c r="E130" s="75"/>
      <c r="F130" s="75"/>
      <c r="G130" s="75"/>
    </row>
    <row r="131" spans="1:7" hidden="1" x14ac:dyDescent="0.25">
      <c r="A131" s="71" t="s">
        <v>51</v>
      </c>
      <c r="E131" s="76" t="s">
        <v>31</v>
      </c>
      <c r="F131" s="76" t="s">
        <v>33</v>
      </c>
    </row>
    <row r="132" spans="1:7" ht="13.8" hidden="1" thickBot="1" x14ac:dyDescent="0.3">
      <c r="A132" s="79" t="s">
        <v>23</v>
      </c>
      <c r="B132" s="80" t="s">
        <v>21</v>
      </c>
      <c r="C132" s="80" t="s">
        <v>25</v>
      </c>
      <c r="D132" s="80" t="s">
        <v>32</v>
      </c>
      <c r="E132" s="80" t="s">
        <v>32</v>
      </c>
      <c r="F132" s="80" t="s">
        <v>32</v>
      </c>
      <c r="G132" s="80" t="s">
        <v>34</v>
      </c>
    </row>
    <row r="133" spans="1:7" hidden="1" x14ac:dyDescent="0.25">
      <c r="A133" s="71"/>
      <c r="B133" s="76"/>
      <c r="C133" s="76"/>
      <c r="D133" s="76"/>
      <c r="E133" s="76"/>
      <c r="F133" s="76"/>
      <c r="G133" s="76"/>
    </row>
    <row r="134" spans="1:7" hidden="1" x14ac:dyDescent="0.25">
      <c r="A134" s="85">
        <v>43814</v>
      </c>
      <c r="B134" s="40">
        <v>0</v>
      </c>
      <c r="C134" s="87">
        <v>0</v>
      </c>
      <c r="D134" s="40">
        <v>0</v>
      </c>
      <c r="E134" s="40">
        <v>0</v>
      </c>
      <c r="F134" s="40">
        <v>0</v>
      </c>
      <c r="G134" s="40">
        <f>SUM(B134,D134:F134)</f>
        <v>0</v>
      </c>
    </row>
    <row r="135" spans="1:7" hidden="1" x14ac:dyDescent="0.25">
      <c r="A135" s="85">
        <v>43997</v>
      </c>
      <c r="B135" s="40">
        <v>0</v>
      </c>
      <c r="C135" s="87">
        <v>0</v>
      </c>
      <c r="D135" s="40">
        <v>0</v>
      </c>
      <c r="E135" s="40">
        <v>0</v>
      </c>
      <c r="F135" s="40">
        <v>0</v>
      </c>
      <c r="G135" s="40">
        <f>SUM(B135,D135:F135)</f>
        <v>0</v>
      </c>
    </row>
    <row r="136" spans="1:7" hidden="1" x14ac:dyDescent="0.25"/>
    <row r="137" spans="1:7" x14ac:dyDescent="0.25">
      <c r="A137" s="123" t="s">
        <v>44</v>
      </c>
      <c r="B137" s="123"/>
      <c r="C137" s="124"/>
      <c r="D137" s="124"/>
      <c r="E137" s="124"/>
      <c r="F137" s="124"/>
      <c r="G137" s="124"/>
    </row>
    <row r="138" spans="1:7" x14ac:dyDescent="0.25">
      <c r="A138" s="125" t="s">
        <v>85</v>
      </c>
      <c r="B138" s="125"/>
      <c r="C138" s="126"/>
      <c r="D138" s="126"/>
      <c r="E138" s="126"/>
      <c r="F138" s="126"/>
      <c r="G138" s="126"/>
    </row>
    <row r="139" spans="1:7" x14ac:dyDescent="0.25">
      <c r="A139" s="74"/>
      <c r="B139" s="75"/>
      <c r="C139" s="75"/>
      <c r="D139" s="75"/>
      <c r="E139" s="75"/>
      <c r="F139" s="75"/>
      <c r="G139" s="75"/>
    </row>
    <row r="140" spans="1:7" x14ac:dyDescent="0.25">
      <c r="A140" s="71" t="s">
        <v>51</v>
      </c>
      <c r="E140" s="76" t="s">
        <v>31</v>
      </c>
      <c r="F140" s="76" t="s">
        <v>33</v>
      </c>
    </row>
    <row r="141" spans="1:7" ht="13.8" thickBot="1" x14ac:dyDescent="0.3">
      <c r="A141" s="79" t="s">
        <v>23</v>
      </c>
      <c r="B141" s="80" t="s">
        <v>21</v>
      </c>
      <c r="C141" s="80" t="s">
        <v>25</v>
      </c>
      <c r="D141" s="80" t="s">
        <v>32</v>
      </c>
      <c r="E141" s="80" t="s">
        <v>32</v>
      </c>
      <c r="F141" s="80" t="s">
        <v>32</v>
      </c>
      <c r="G141" s="80" t="s">
        <v>34</v>
      </c>
    </row>
    <row r="142" spans="1:7" x14ac:dyDescent="0.25">
      <c r="A142" s="71"/>
      <c r="B142" s="76"/>
      <c r="C142" s="76"/>
      <c r="D142" s="76"/>
      <c r="E142" s="76"/>
      <c r="F142" s="76"/>
      <c r="G142" s="76"/>
    </row>
    <row r="143" spans="1:7" x14ac:dyDescent="0.25">
      <c r="A143" s="85">
        <v>44910</v>
      </c>
      <c r="B143" s="40">
        <v>1525000</v>
      </c>
      <c r="C143" s="101">
        <v>5.5E-2</v>
      </c>
      <c r="D143" s="40">
        <v>221650</v>
      </c>
      <c r="E143" s="40">
        <v>0</v>
      </c>
      <c r="F143" s="40">
        <v>0</v>
      </c>
      <c r="G143" s="40">
        <f>SUM(B143,D143:F143)</f>
        <v>1746650</v>
      </c>
    </row>
    <row r="144" spans="1:7" x14ac:dyDescent="0.25">
      <c r="A144" s="85">
        <v>45092</v>
      </c>
      <c r="B144" s="40">
        <v>2915000</v>
      </c>
      <c r="C144" s="101">
        <v>5.5E-2</v>
      </c>
      <c r="D144" s="40">
        <v>179712.5</v>
      </c>
      <c r="E144" s="40">
        <v>0</v>
      </c>
      <c r="F144" s="40">
        <v>0</v>
      </c>
      <c r="G144" s="40">
        <f>SUM(B144,D144:F144)</f>
        <v>3094712.5</v>
      </c>
    </row>
    <row r="146" spans="1:7" x14ac:dyDescent="0.25">
      <c r="A146" s="123" t="s">
        <v>44</v>
      </c>
      <c r="B146" s="123"/>
      <c r="C146" s="124"/>
      <c r="D146" s="124"/>
      <c r="E146" s="124"/>
      <c r="F146" s="124"/>
      <c r="G146" s="124"/>
    </row>
    <row r="147" spans="1:7" x14ac:dyDescent="0.25">
      <c r="A147" s="125" t="s">
        <v>86</v>
      </c>
      <c r="B147" s="125"/>
      <c r="C147" s="126"/>
      <c r="D147" s="126"/>
      <c r="E147" s="126"/>
      <c r="F147" s="126"/>
      <c r="G147" s="126"/>
    </row>
    <row r="148" spans="1:7" x14ac:dyDescent="0.25">
      <c r="A148" s="74"/>
      <c r="B148" s="75"/>
      <c r="C148" s="75"/>
      <c r="D148" s="75"/>
      <c r="E148" s="75"/>
      <c r="F148" s="75"/>
      <c r="G148" s="75"/>
    </row>
    <row r="149" spans="1:7" x14ac:dyDescent="0.25">
      <c r="A149" s="71" t="s">
        <v>51</v>
      </c>
      <c r="E149" s="76" t="s">
        <v>31</v>
      </c>
      <c r="F149" s="76" t="s">
        <v>33</v>
      </c>
    </row>
    <row r="150" spans="1:7" ht="13.8" thickBot="1" x14ac:dyDescent="0.3">
      <c r="A150" s="79" t="s">
        <v>23</v>
      </c>
      <c r="B150" s="80" t="s">
        <v>21</v>
      </c>
      <c r="C150" s="80" t="s">
        <v>25</v>
      </c>
      <c r="D150" s="80" t="s">
        <v>32</v>
      </c>
      <c r="E150" s="80" t="s">
        <v>32</v>
      </c>
      <c r="F150" s="80" t="s">
        <v>32</v>
      </c>
      <c r="G150" s="80" t="s">
        <v>34</v>
      </c>
    </row>
    <row r="151" spans="1:7" x14ac:dyDescent="0.25">
      <c r="A151" s="71"/>
      <c r="B151" s="76"/>
      <c r="C151" s="76"/>
      <c r="D151" s="76"/>
      <c r="E151" s="76"/>
      <c r="F151" s="76"/>
      <c r="G151" s="76"/>
    </row>
    <row r="152" spans="1:7" x14ac:dyDescent="0.25">
      <c r="A152" s="85">
        <v>44910</v>
      </c>
      <c r="B152" s="40">
        <v>445000</v>
      </c>
      <c r="C152" s="101">
        <v>5.5E-2</v>
      </c>
      <c r="D152" s="40">
        <v>2126712.5</v>
      </c>
      <c r="E152" s="40">
        <v>0</v>
      </c>
      <c r="F152" s="40">
        <v>0</v>
      </c>
      <c r="G152" s="40">
        <f>SUM(B152,D152:F152)</f>
        <v>2571712.5</v>
      </c>
    </row>
    <row r="153" spans="1:7" x14ac:dyDescent="0.25">
      <c r="A153" s="85">
        <v>45092</v>
      </c>
      <c r="B153" s="40">
        <v>860000</v>
      </c>
      <c r="C153" s="101">
        <v>5.5E-2</v>
      </c>
      <c r="D153" s="40">
        <v>2114475</v>
      </c>
      <c r="E153" s="40">
        <v>0</v>
      </c>
      <c r="F153" s="40">
        <v>0</v>
      </c>
      <c r="G153" s="40">
        <f>SUM(B153,D153:F153)</f>
        <v>2974475</v>
      </c>
    </row>
    <row r="155" spans="1:7" x14ac:dyDescent="0.25">
      <c r="A155" s="123" t="s">
        <v>44</v>
      </c>
      <c r="B155" s="123"/>
      <c r="C155" s="124"/>
      <c r="D155" s="124"/>
      <c r="E155" s="124"/>
      <c r="F155" s="124"/>
      <c r="G155" s="124"/>
    </row>
    <row r="156" spans="1:7" x14ac:dyDescent="0.25">
      <c r="A156" s="125" t="s">
        <v>87</v>
      </c>
      <c r="B156" s="125"/>
      <c r="C156" s="126"/>
      <c r="D156" s="126"/>
      <c r="E156" s="126"/>
      <c r="F156" s="126"/>
      <c r="G156" s="126"/>
    </row>
    <row r="157" spans="1:7" x14ac:dyDescent="0.25">
      <c r="A157" s="74"/>
      <c r="B157" s="75"/>
      <c r="C157" s="75"/>
      <c r="D157" s="75"/>
      <c r="E157" s="75"/>
      <c r="F157" s="75"/>
      <c r="G157" s="75"/>
    </row>
    <row r="158" spans="1:7" x14ac:dyDescent="0.25">
      <c r="A158" s="71" t="s">
        <v>51</v>
      </c>
      <c r="E158" s="76" t="s">
        <v>31</v>
      </c>
      <c r="F158" s="76" t="s">
        <v>33</v>
      </c>
    </row>
    <row r="159" spans="1:7" ht="13.8" thickBot="1" x14ac:dyDescent="0.3">
      <c r="A159" s="79" t="s">
        <v>23</v>
      </c>
      <c r="B159" s="80" t="s">
        <v>21</v>
      </c>
      <c r="C159" s="80" t="s">
        <v>25</v>
      </c>
      <c r="D159" s="80" t="s">
        <v>32</v>
      </c>
      <c r="E159" s="80" t="s">
        <v>32</v>
      </c>
      <c r="F159" s="80" t="s">
        <v>32</v>
      </c>
      <c r="G159" s="80" t="s">
        <v>34</v>
      </c>
    </row>
    <row r="160" spans="1:7" x14ac:dyDescent="0.25">
      <c r="A160" s="71"/>
      <c r="B160" s="76"/>
      <c r="C160" s="76"/>
      <c r="D160" s="76"/>
      <c r="E160" s="76"/>
      <c r="F160" s="76"/>
      <c r="G160" s="76"/>
    </row>
    <row r="161" spans="1:7" x14ac:dyDescent="0.25">
      <c r="A161" s="85">
        <v>44910</v>
      </c>
      <c r="B161" s="40">
        <v>10231020</v>
      </c>
      <c r="C161" s="87">
        <v>6.1800000000000001E-2</v>
      </c>
      <c r="D161" s="40">
        <v>0</v>
      </c>
      <c r="E161" s="40">
        <v>40068980</v>
      </c>
      <c r="F161" s="40">
        <v>0</v>
      </c>
      <c r="G161" s="40">
        <f>SUM(B161,D161:F161)</f>
        <v>50300000</v>
      </c>
    </row>
    <row r="162" spans="1:7" x14ac:dyDescent="0.25">
      <c r="A162" s="85">
        <v>45092</v>
      </c>
      <c r="B162" s="40">
        <v>3784552.2</v>
      </c>
      <c r="C162" s="87">
        <v>6.2E-2</v>
      </c>
      <c r="D162" s="40">
        <v>0</v>
      </c>
      <c r="E162" s="40">
        <v>15520447.800000001</v>
      </c>
      <c r="F162" s="40">
        <v>0</v>
      </c>
      <c r="G162" s="40">
        <f>SUM(B162,D162:F162)</f>
        <v>19305000</v>
      </c>
    </row>
    <row r="164" spans="1:7" x14ac:dyDescent="0.25">
      <c r="A164" s="123" t="s">
        <v>44</v>
      </c>
      <c r="B164" s="123"/>
      <c r="C164" s="124"/>
      <c r="D164" s="124"/>
      <c r="E164" s="124"/>
      <c r="F164" s="124"/>
      <c r="G164" s="124"/>
    </row>
    <row r="165" spans="1:7" x14ac:dyDescent="0.25">
      <c r="A165" s="125" t="s">
        <v>88</v>
      </c>
      <c r="B165" s="125"/>
      <c r="C165" s="126"/>
      <c r="D165" s="126"/>
      <c r="E165" s="126"/>
      <c r="F165" s="126"/>
      <c r="G165" s="126"/>
    </row>
    <row r="166" spans="1:7" x14ac:dyDescent="0.25">
      <c r="A166" s="74"/>
      <c r="B166" s="75"/>
      <c r="C166" s="75"/>
      <c r="D166" s="75"/>
      <c r="E166" s="75"/>
      <c r="F166" s="75"/>
      <c r="G166" s="75"/>
    </row>
    <row r="167" spans="1:7" x14ac:dyDescent="0.25">
      <c r="A167" s="71" t="s">
        <v>51</v>
      </c>
      <c r="E167" s="76" t="s">
        <v>31</v>
      </c>
      <c r="F167" s="76" t="s">
        <v>33</v>
      </c>
    </row>
    <row r="168" spans="1:7" ht="13.8" thickBot="1" x14ac:dyDescent="0.3">
      <c r="A168" s="79" t="s">
        <v>23</v>
      </c>
      <c r="B168" s="80" t="s">
        <v>21</v>
      </c>
      <c r="C168" s="80" t="s">
        <v>25</v>
      </c>
      <c r="D168" s="80" t="s">
        <v>32</v>
      </c>
      <c r="E168" s="80" t="s">
        <v>32</v>
      </c>
      <c r="F168" s="80" t="s">
        <v>32</v>
      </c>
      <c r="G168" s="80" t="s">
        <v>34</v>
      </c>
    </row>
    <row r="169" spans="1:7" x14ac:dyDescent="0.25">
      <c r="A169" s="71"/>
      <c r="B169" s="76"/>
      <c r="C169" s="76"/>
      <c r="D169" s="76"/>
      <c r="E169" s="76"/>
      <c r="F169" s="76"/>
      <c r="G169" s="76"/>
    </row>
    <row r="170" spans="1:7" x14ac:dyDescent="0.25">
      <c r="A170" s="85">
        <v>44910</v>
      </c>
      <c r="B170" s="40">
        <v>0</v>
      </c>
      <c r="C170" s="87">
        <v>0</v>
      </c>
      <c r="D170" s="40">
        <v>0</v>
      </c>
      <c r="E170" s="40">
        <v>0</v>
      </c>
      <c r="F170" s="40">
        <v>0</v>
      </c>
      <c r="G170" s="40">
        <f>SUM(B170,D170:F170)</f>
        <v>0</v>
      </c>
    </row>
    <row r="171" spans="1:7" x14ac:dyDescent="0.25">
      <c r="A171" s="85">
        <v>45092</v>
      </c>
      <c r="B171" s="40">
        <v>0</v>
      </c>
      <c r="C171" s="87">
        <v>0</v>
      </c>
      <c r="D171" s="40">
        <v>0</v>
      </c>
      <c r="E171" s="40">
        <v>0</v>
      </c>
      <c r="F171" s="40">
        <v>0</v>
      </c>
      <c r="G171" s="40">
        <f>SUM(B171,D171:F171)</f>
        <v>0</v>
      </c>
    </row>
    <row r="173" spans="1:7" x14ac:dyDescent="0.25">
      <c r="A173" s="123" t="s">
        <v>44</v>
      </c>
      <c r="B173" s="123"/>
      <c r="C173" s="124"/>
      <c r="D173" s="124"/>
      <c r="E173" s="124"/>
      <c r="F173" s="124"/>
      <c r="G173" s="124"/>
    </row>
    <row r="174" spans="1:7" x14ac:dyDescent="0.25">
      <c r="A174" s="125" t="s">
        <v>89</v>
      </c>
      <c r="B174" s="125"/>
      <c r="C174" s="126"/>
      <c r="D174" s="126"/>
      <c r="E174" s="126"/>
      <c r="F174" s="126"/>
      <c r="G174" s="126"/>
    </row>
    <row r="175" spans="1:7" x14ac:dyDescent="0.25">
      <c r="A175" s="74"/>
      <c r="B175" s="75"/>
      <c r="C175" s="75"/>
      <c r="D175" s="75"/>
      <c r="E175" s="75"/>
      <c r="F175" s="75"/>
      <c r="G175" s="75"/>
    </row>
    <row r="176" spans="1:7" x14ac:dyDescent="0.25">
      <c r="A176" s="71" t="s">
        <v>51</v>
      </c>
      <c r="E176" s="76" t="s">
        <v>31</v>
      </c>
      <c r="F176" s="76" t="s">
        <v>33</v>
      </c>
    </row>
    <row r="177" spans="1:8" ht="13.8" thickBot="1" x14ac:dyDescent="0.3">
      <c r="A177" s="79" t="s">
        <v>23</v>
      </c>
      <c r="B177" s="80" t="s">
        <v>21</v>
      </c>
      <c r="C177" s="80" t="s">
        <v>25</v>
      </c>
      <c r="D177" s="80" t="s">
        <v>32</v>
      </c>
      <c r="E177" s="80" t="s">
        <v>32</v>
      </c>
      <c r="F177" s="80" t="s">
        <v>32</v>
      </c>
      <c r="G177" s="80" t="s">
        <v>34</v>
      </c>
    </row>
    <row r="178" spans="1:8" x14ac:dyDescent="0.25">
      <c r="A178" s="71"/>
      <c r="B178" s="76"/>
      <c r="C178" s="76"/>
      <c r="D178" s="76"/>
      <c r="E178" s="76"/>
      <c r="F178" s="76"/>
      <c r="G178" s="76"/>
    </row>
    <row r="179" spans="1:8" x14ac:dyDescent="0.25">
      <c r="A179" s="85">
        <v>44910</v>
      </c>
      <c r="B179" s="40">
        <v>0</v>
      </c>
      <c r="C179" s="87">
        <v>0</v>
      </c>
      <c r="D179" s="40">
        <v>0</v>
      </c>
      <c r="E179" s="40">
        <v>0</v>
      </c>
      <c r="F179" s="40">
        <v>0</v>
      </c>
      <c r="G179" s="40">
        <f>SUM(B179,D179:F179)</f>
        <v>0</v>
      </c>
    </row>
    <row r="180" spans="1:8" x14ac:dyDescent="0.25">
      <c r="A180" s="85">
        <v>45092</v>
      </c>
      <c r="B180" s="40">
        <v>234770.2</v>
      </c>
      <c r="C180" s="87">
        <v>6.7000000000000004E-2</v>
      </c>
      <c r="D180" s="40">
        <v>0</v>
      </c>
      <c r="E180" s="40">
        <v>1350229.8</v>
      </c>
      <c r="F180" s="40">
        <v>0</v>
      </c>
      <c r="G180" s="40">
        <f>SUM(B180,D180:F180)</f>
        <v>1585000</v>
      </c>
    </row>
    <row r="182" spans="1:8" x14ac:dyDescent="0.25">
      <c r="A182" s="123" t="s">
        <v>75</v>
      </c>
      <c r="B182" s="123"/>
      <c r="C182" s="124"/>
      <c r="D182" s="124"/>
      <c r="E182" s="124"/>
      <c r="F182" s="124"/>
      <c r="G182" s="124"/>
    </row>
    <row r="183" spans="1:8" x14ac:dyDescent="0.25">
      <c r="A183" s="125"/>
      <c r="B183" s="125"/>
      <c r="C183" s="126"/>
      <c r="D183" s="126"/>
      <c r="E183" s="126"/>
      <c r="F183" s="126"/>
      <c r="G183" s="126"/>
    </row>
    <row r="184" spans="1:8" x14ac:dyDescent="0.25">
      <c r="A184" s="74"/>
      <c r="B184" s="75"/>
      <c r="C184" s="75"/>
      <c r="D184" s="75"/>
      <c r="E184" s="75"/>
      <c r="F184" s="75"/>
      <c r="G184" s="75"/>
    </row>
    <row r="185" spans="1:8" x14ac:dyDescent="0.25">
      <c r="A185" s="71" t="s">
        <v>51</v>
      </c>
      <c r="E185" s="76" t="s">
        <v>31</v>
      </c>
      <c r="F185" s="76" t="s">
        <v>33</v>
      </c>
    </row>
    <row r="186" spans="1:8" ht="13.8" thickBot="1" x14ac:dyDescent="0.3">
      <c r="A186" s="79" t="s">
        <v>23</v>
      </c>
      <c r="B186" s="80" t="s">
        <v>21</v>
      </c>
      <c r="C186" s="80" t="s">
        <v>25</v>
      </c>
      <c r="D186" s="80" t="s">
        <v>32</v>
      </c>
      <c r="E186" s="80" t="s">
        <v>32</v>
      </c>
      <c r="F186" s="80" t="s">
        <v>32</v>
      </c>
      <c r="G186" s="80" t="s">
        <v>34</v>
      </c>
    </row>
    <row r="187" spans="1:8" x14ac:dyDescent="0.25">
      <c r="A187" s="71"/>
      <c r="B187" s="76"/>
      <c r="C187" s="76"/>
      <c r="D187" s="76"/>
      <c r="E187" s="76"/>
      <c r="F187" s="76"/>
      <c r="G187" s="76"/>
    </row>
    <row r="188" spans="1:8" x14ac:dyDescent="0.25">
      <c r="A188" s="85">
        <v>44910</v>
      </c>
      <c r="B188" s="40">
        <f>SUM(B12,B17,B26,B35,B44,B53,B62,B71,B80,B89,B98,B107,B116,B125,B143,B152,B161,B170,B179)</f>
        <v>49201020</v>
      </c>
      <c r="C188" s="122" t="s">
        <v>95</v>
      </c>
      <c r="D188" s="40">
        <f>SUM(D12,D17,D26,D35,D44,D53,D62,D71,D80,D89,D98,D107,D116,D125,D143,D152,D161,D170,D179)</f>
        <v>51903430.075000003</v>
      </c>
      <c r="E188" s="40">
        <f>SUM(E12,E17,E26,E35,E44,E53,E62,E71,E80,E89,E98,E107,E116,E125,E143,E152,E161,E170,E179)</f>
        <v>40068980</v>
      </c>
      <c r="F188" s="40">
        <f>SUM(F11,F17,F26,F35,F44,F53,F62,F71,F80,F89,F98,F107,F116,F125,F143,F152,F161,F170,F179)</f>
        <v>-12066751.17</v>
      </c>
      <c r="G188" s="40">
        <f>SUM(G11,G17,G26,G35,G44,G53,G62,G71,G80,G89,G98,G107,G116,G125,G143,G152,G161,G170,G179)</f>
        <v>129106678.905</v>
      </c>
      <c r="H188" s="40"/>
    </row>
    <row r="189" spans="1:8" x14ac:dyDescent="0.25">
      <c r="A189" s="85">
        <v>45092</v>
      </c>
      <c r="B189" s="40">
        <f>SUM(B12,B18,B27,B36,B45,B54,B63,B72,B81,B90,B99,B108,B117,B126,B144,B153,B162,B171,B180)</f>
        <v>11442993.099999998</v>
      </c>
      <c r="C189" s="122" t="s">
        <v>95</v>
      </c>
      <c r="D189" s="40">
        <f>SUM(D12,D18,D27,D36,D45,D54,D63,D72,D81,D90,D99,D108,D117,D126,D144,D153,D162,D171,D180)</f>
        <v>50924255.075000003</v>
      </c>
      <c r="E189" s="40">
        <f>SUM(E12,E18,E27,E36,E45,E54,E63,E72,E81,E90,E99,E108,E117,E126,E144,E153,E162,E171,E180)</f>
        <v>21677006.900000002</v>
      </c>
      <c r="F189" s="40">
        <f>SUM(F12,F18,F27,F36,F45,F54,F63,F72,F81,F90,F99,F108,F117,F126,F144,F153,F162,F171,F180)</f>
        <v>0</v>
      </c>
      <c r="G189" s="40">
        <f>SUM(G12,G18,G27,G36,G45,G54,G63,G72,G81,G90,G99,G108,G117,G126,G144,G153,G162,G171,G180)</f>
        <v>84044255.075000003</v>
      </c>
    </row>
    <row r="192" spans="1:8" ht="13.8" x14ac:dyDescent="0.25">
      <c r="A192" s="234">
        <f ca="1">NOW()</f>
        <v>44691.691627893517</v>
      </c>
      <c r="B192" s="234"/>
      <c r="G192" s="40"/>
    </row>
    <row r="193" spans="2:7" x14ac:dyDescent="0.25">
      <c r="B193" s="207"/>
      <c r="C193" s="207"/>
      <c r="D193" s="207"/>
      <c r="E193" s="208"/>
      <c r="G193" s="40"/>
    </row>
    <row r="195" spans="2:7" x14ac:dyDescent="0.25">
      <c r="E195" s="206"/>
    </row>
  </sheetData>
  <mergeCells count="1">
    <mergeCell ref="A192:B192"/>
  </mergeCells>
  <pageMargins left="0.7" right="0.7" top="0.75" bottom="0.75" header="0.3" footer="0.3"/>
  <pageSetup fitToHeight="6" orientation="portrait" r:id="rId1"/>
  <rowBreaks count="3" manualBreakCount="3">
    <brk id="54" max="16383" man="1"/>
    <brk id="99" max="16383" man="1"/>
    <brk id="15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C615-5F4D-40A7-BBD8-F9D466305BCC}">
  <dimension ref="A2:H195"/>
  <sheetViews>
    <sheetView zoomScale="70" zoomScaleNormal="70" zoomScaleSheetLayoutView="70" workbookViewId="0">
      <selection activeCell="D48" sqref="D48"/>
    </sheetView>
  </sheetViews>
  <sheetFormatPr defaultColWidth="10.7109375" defaultRowHeight="13.2" x14ac:dyDescent="0.25"/>
  <cols>
    <col min="1" max="6" width="15.85546875" style="215" customWidth="1"/>
    <col min="7" max="7" width="17.7109375" style="215" customWidth="1"/>
    <col min="8" max="8" width="14.85546875" style="215" bestFit="1" customWidth="1"/>
    <col min="9" max="16384" width="10.7109375" style="215"/>
  </cols>
  <sheetData>
    <row r="2" spans="1:7" ht="17.399999999999999" x14ac:dyDescent="0.3">
      <c r="A2" s="213" t="s">
        <v>140</v>
      </c>
      <c r="B2" s="213"/>
      <c r="C2" s="213"/>
      <c r="D2" s="213"/>
      <c r="E2" s="214"/>
      <c r="F2" s="214"/>
      <c r="G2" s="214"/>
    </row>
    <row r="3" spans="1:7" ht="15.6" x14ac:dyDescent="0.3">
      <c r="A3" s="216" t="s">
        <v>134</v>
      </c>
      <c r="B3" s="216"/>
      <c r="C3" s="216"/>
      <c r="D3" s="216"/>
      <c r="E3" s="214"/>
      <c r="F3" s="214"/>
      <c r="G3" s="214"/>
    </row>
    <row r="4" spans="1:7" ht="15.6" x14ac:dyDescent="0.3">
      <c r="A4" s="216"/>
      <c r="B4" s="216"/>
      <c r="C4" s="216"/>
      <c r="D4" s="216"/>
      <c r="E4" s="214"/>
      <c r="F4" s="214"/>
      <c r="G4" s="214"/>
    </row>
    <row r="5" spans="1:7" x14ac:dyDescent="0.25">
      <c r="A5" s="123" t="s">
        <v>44</v>
      </c>
      <c r="B5" s="123"/>
      <c r="C5" s="124"/>
      <c r="D5" s="124"/>
      <c r="E5" s="124"/>
      <c r="F5" s="124"/>
      <c r="G5" s="124"/>
    </row>
    <row r="6" spans="1:7" x14ac:dyDescent="0.25">
      <c r="A6" s="217" t="s">
        <v>136</v>
      </c>
      <c r="B6" s="217"/>
      <c r="C6" s="218"/>
      <c r="D6" s="218"/>
      <c r="E6" s="218"/>
      <c r="F6" s="218"/>
      <c r="G6" s="218"/>
    </row>
    <row r="7" spans="1:7" x14ac:dyDescent="0.25">
      <c r="A7" s="219"/>
      <c r="B7" s="67"/>
      <c r="C7" s="67"/>
      <c r="D7" s="67"/>
      <c r="E7" s="67"/>
      <c r="F7" s="67"/>
      <c r="G7" s="67"/>
    </row>
    <row r="8" spans="1:7" x14ac:dyDescent="0.25">
      <c r="A8" s="220" t="s">
        <v>51</v>
      </c>
      <c r="E8" s="221" t="s">
        <v>31</v>
      </c>
      <c r="F8" s="221" t="s">
        <v>33</v>
      </c>
    </row>
    <row r="9" spans="1:7" ht="13.8" thickBot="1" x14ac:dyDescent="0.3">
      <c r="A9" s="222" t="s">
        <v>23</v>
      </c>
      <c r="B9" s="223" t="s">
        <v>21</v>
      </c>
      <c r="C9" s="223" t="s">
        <v>25</v>
      </c>
      <c r="D9" s="223" t="s">
        <v>32</v>
      </c>
      <c r="E9" s="223" t="s">
        <v>32</v>
      </c>
      <c r="F9" s="223" t="s">
        <v>32</v>
      </c>
      <c r="G9" s="223" t="s">
        <v>34</v>
      </c>
    </row>
    <row r="10" spans="1:7" x14ac:dyDescent="0.25">
      <c r="A10" s="220"/>
      <c r="B10" s="221"/>
      <c r="C10" s="221"/>
      <c r="D10" s="221"/>
      <c r="E10" s="221"/>
      <c r="F10" s="221"/>
      <c r="G10" s="221"/>
    </row>
    <row r="11" spans="1:7" x14ac:dyDescent="0.25">
      <c r="A11" s="224">
        <v>44545</v>
      </c>
      <c r="B11" s="225">
        <v>0</v>
      </c>
      <c r="C11" s="226">
        <v>0</v>
      </c>
      <c r="D11" s="225">
        <v>0</v>
      </c>
      <c r="E11" s="225">
        <v>0</v>
      </c>
      <c r="F11" s="225">
        <f>-D11</f>
        <v>0</v>
      </c>
      <c r="G11" s="225">
        <f>SUM(B11,D11:F11)</f>
        <v>0</v>
      </c>
    </row>
    <row r="12" spans="1:7" x14ac:dyDescent="0.25">
      <c r="A12" s="224">
        <v>44727</v>
      </c>
      <c r="B12" s="225">
        <v>0</v>
      </c>
      <c r="C12" s="226">
        <v>0</v>
      </c>
      <c r="D12" s="225">
        <v>6670204.4400000004</v>
      </c>
      <c r="E12" s="225">
        <v>0</v>
      </c>
      <c r="F12" s="225">
        <v>-6670204.4400000004</v>
      </c>
      <c r="G12" s="225">
        <f>SUM(B12,D12:F12)</f>
        <v>0</v>
      </c>
    </row>
    <row r="13" spans="1:7" x14ac:dyDescent="0.25">
      <c r="A13" s="224"/>
      <c r="B13" s="225"/>
      <c r="C13" s="226"/>
      <c r="D13" s="225"/>
      <c r="E13" s="225"/>
      <c r="F13" s="225"/>
      <c r="G13" s="225"/>
    </row>
    <row r="14" spans="1:7" x14ac:dyDescent="0.25">
      <c r="A14" s="123" t="s">
        <v>44</v>
      </c>
      <c r="B14" s="123"/>
      <c r="C14" s="124"/>
      <c r="D14" s="124"/>
      <c r="E14" s="124"/>
      <c r="F14" s="124"/>
      <c r="G14" s="124"/>
    </row>
    <row r="15" spans="1:7" x14ac:dyDescent="0.25">
      <c r="A15" s="217" t="s">
        <v>141</v>
      </c>
      <c r="B15" s="217"/>
      <c r="C15" s="218"/>
      <c r="D15" s="218"/>
      <c r="E15" s="218"/>
      <c r="F15" s="218"/>
      <c r="G15" s="218"/>
    </row>
    <row r="16" spans="1:7" x14ac:dyDescent="0.25">
      <c r="A16" s="219"/>
      <c r="B16" s="67"/>
      <c r="C16" s="67"/>
      <c r="D16" s="67"/>
      <c r="E16" s="67"/>
      <c r="F16" s="67"/>
      <c r="G16" s="67"/>
    </row>
    <row r="17" spans="1:7" x14ac:dyDescent="0.25">
      <c r="A17" s="220" t="s">
        <v>51</v>
      </c>
      <c r="E17" s="221" t="s">
        <v>31</v>
      </c>
      <c r="F17" s="221" t="s">
        <v>33</v>
      </c>
    </row>
    <row r="18" spans="1:7" ht="13.8" thickBot="1" x14ac:dyDescent="0.3">
      <c r="A18" s="222" t="s">
        <v>23</v>
      </c>
      <c r="B18" s="223" t="s">
        <v>21</v>
      </c>
      <c r="C18" s="223" t="s">
        <v>25</v>
      </c>
      <c r="D18" s="223" t="s">
        <v>32</v>
      </c>
      <c r="E18" s="223" t="s">
        <v>32</v>
      </c>
      <c r="F18" s="223" t="s">
        <v>32</v>
      </c>
      <c r="G18" s="223" t="s">
        <v>34</v>
      </c>
    </row>
    <row r="19" spans="1:7" x14ac:dyDescent="0.25">
      <c r="A19" s="220"/>
      <c r="B19" s="221"/>
      <c r="C19" s="221"/>
      <c r="D19" s="221"/>
      <c r="E19" s="221"/>
      <c r="F19" s="221"/>
      <c r="G19" s="221"/>
    </row>
    <row r="20" spans="1:7" x14ac:dyDescent="0.25">
      <c r="A20" s="224">
        <v>44545</v>
      </c>
      <c r="B20" s="225">
        <v>0</v>
      </c>
      <c r="C20" s="226">
        <v>0</v>
      </c>
      <c r="D20" s="225">
        <v>0</v>
      </c>
      <c r="E20" s="225">
        <v>0</v>
      </c>
      <c r="F20" s="225">
        <f>-D20</f>
        <v>0</v>
      </c>
      <c r="G20" s="225">
        <f>SUM(B20,D20:F20)</f>
        <v>0</v>
      </c>
    </row>
    <row r="21" spans="1:7" x14ac:dyDescent="0.25">
      <c r="A21" s="224">
        <v>44727</v>
      </c>
      <c r="B21" s="225">
        <v>0</v>
      </c>
      <c r="C21" s="226">
        <v>0</v>
      </c>
      <c r="D21" s="225">
        <v>0</v>
      </c>
      <c r="E21" s="225">
        <v>0</v>
      </c>
      <c r="F21" s="225">
        <f>-D21</f>
        <v>0</v>
      </c>
      <c r="G21" s="225">
        <f>SUM(B21,D21:F21)</f>
        <v>0</v>
      </c>
    </row>
    <row r="22" spans="1:7" ht="15.6" x14ac:dyDescent="0.3">
      <c r="A22" s="216"/>
      <c r="B22" s="216"/>
      <c r="C22" s="216"/>
      <c r="D22" s="216"/>
      <c r="E22" s="214"/>
      <c r="F22" s="214"/>
      <c r="G22" s="214"/>
    </row>
    <row r="23" spans="1:7" x14ac:dyDescent="0.25">
      <c r="A23" s="123" t="s">
        <v>44</v>
      </c>
      <c r="B23" s="123"/>
      <c r="C23" s="124"/>
      <c r="D23" s="124"/>
      <c r="E23" s="124"/>
      <c r="F23" s="124"/>
      <c r="G23" s="124"/>
    </row>
    <row r="24" spans="1:7" x14ac:dyDescent="0.25">
      <c r="A24" s="217" t="s">
        <v>97</v>
      </c>
      <c r="B24" s="217"/>
      <c r="C24" s="218"/>
      <c r="D24" s="218"/>
      <c r="E24" s="218"/>
      <c r="F24" s="218"/>
      <c r="G24" s="218"/>
    </row>
    <row r="25" spans="1:7" x14ac:dyDescent="0.25">
      <c r="A25" s="219"/>
      <c r="B25" s="67"/>
      <c r="C25" s="67"/>
      <c r="D25" s="67"/>
      <c r="E25" s="67"/>
      <c r="F25" s="67"/>
      <c r="G25" s="67"/>
    </row>
    <row r="26" spans="1:7" x14ac:dyDescent="0.25">
      <c r="A26" s="220" t="s">
        <v>51</v>
      </c>
      <c r="E26" s="221" t="s">
        <v>31</v>
      </c>
      <c r="F26" s="221" t="s">
        <v>33</v>
      </c>
    </row>
    <row r="27" spans="1:7" ht="13.8" thickBot="1" x14ac:dyDescent="0.3">
      <c r="A27" s="222" t="s">
        <v>23</v>
      </c>
      <c r="B27" s="223" t="s">
        <v>21</v>
      </c>
      <c r="C27" s="223" t="s">
        <v>25</v>
      </c>
      <c r="D27" s="223" t="s">
        <v>32</v>
      </c>
      <c r="E27" s="223" t="s">
        <v>32</v>
      </c>
      <c r="F27" s="223" t="s">
        <v>32</v>
      </c>
      <c r="G27" s="223" t="s">
        <v>34</v>
      </c>
    </row>
    <row r="28" spans="1:7" x14ac:dyDescent="0.25">
      <c r="A28" s="220"/>
      <c r="B28" s="221"/>
      <c r="C28" s="221"/>
      <c r="D28" s="221"/>
      <c r="E28" s="221"/>
      <c r="F28" s="221"/>
      <c r="G28" s="221"/>
    </row>
    <row r="29" spans="1:7" x14ac:dyDescent="0.25">
      <c r="A29" s="224">
        <v>44545</v>
      </c>
      <c r="B29" s="225">
        <v>0</v>
      </c>
      <c r="C29" s="226">
        <v>0</v>
      </c>
      <c r="D29" s="225">
        <v>19862625</v>
      </c>
      <c r="E29" s="225">
        <v>0</v>
      </c>
      <c r="F29" s="225">
        <v>0</v>
      </c>
      <c r="G29" s="225">
        <f>SUM(B29,D29:F29)</f>
        <v>19862625</v>
      </c>
    </row>
    <row r="30" spans="1:7" x14ac:dyDescent="0.25">
      <c r="A30" s="224">
        <v>44727</v>
      </c>
      <c r="B30" s="225">
        <v>0</v>
      </c>
      <c r="C30" s="226">
        <v>0</v>
      </c>
      <c r="D30" s="225">
        <v>19862625</v>
      </c>
      <c r="E30" s="225">
        <v>0</v>
      </c>
      <c r="F30" s="225">
        <v>0</v>
      </c>
      <c r="G30" s="225">
        <f>SUM(B30,D30:F30)</f>
        <v>19862625</v>
      </c>
    </row>
    <row r="31" spans="1:7" x14ac:dyDescent="0.25">
      <c r="A31" s="224"/>
      <c r="B31" s="225"/>
      <c r="C31" s="226"/>
      <c r="D31" s="225"/>
      <c r="E31" s="225"/>
      <c r="F31" s="225"/>
      <c r="G31" s="225"/>
    </row>
    <row r="32" spans="1:7" x14ac:dyDescent="0.25">
      <c r="A32" s="123" t="s">
        <v>44</v>
      </c>
      <c r="B32" s="123"/>
      <c r="C32" s="124"/>
      <c r="D32" s="124"/>
      <c r="E32" s="124"/>
      <c r="F32" s="124"/>
      <c r="G32" s="124"/>
    </row>
    <row r="33" spans="1:7" x14ac:dyDescent="0.25">
      <c r="A33" s="217" t="s">
        <v>106</v>
      </c>
      <c r="B33" s="217"/>
      <c r="C33" s="218"/>
      <c r="D33" s="218"/>
      <c r="E33" s="218"/>
      <c r="F33" s="218"/>
      <c r="G33" s="218"/>
    </row>
    <row r="34" spans="1:7" x14ac:dyDescent="0.25">
      <c r="A34" s="219"/>
      <c r="B34" s="67"/>
      <c r="C34" s="67"/>
      <c r="D34" s="67"/>
      <c r="E34" s="67"/>
      <c r="F34" s="67"/>
      <c r="G34" s="67"/>
    </row>
    <row r="35" spans="1:7" x14ac:dyDescent="0.25">
      <c r="A35" s="220" t="s">
        <v>51</v>
      </c>
      <c r="E35" s="221" t="s">
        <v>31</v>
      </c>
      <c r="F35" s="221" t="s">
        <v>33</v>
      </c>
    </row>
    <row r="36" spans="1:7" ht="13.8" thickBot="1" x14ac:dyDescent="0.3">
      <c r="A36" s="222" t="s">
        <v>23</v>
      </c>
      <c r="B36" s="223" t="s">
        <v>21</v>
      </c>
      <c r="C36" s="223" t="s">
        <v>25</v>
      </c>
      <c r="D36" s="223" t="s">
        <v>32</v>
      </c>
      <c r="E36" s="223" t="s">
        <v>32</v>
      </c>
      <c r="F36" s="223" t="s">
        <v>32</v>
      </c>
      <c r="G36" s="223" t="s">
        <v>34</v>
      </c>
    </row>
    <row r="37" spans="1:7" x14ac:dyDescent="0.25">
      <c r="A37" s="220"/>
      <c r="B37" s="221"/>
      <c r="C37" s="221"/>
      <c r="D37" s="221"/>
      <c r="E37" s="221"/>
      <c r="F37" s="221"/>
      <c r="G37" s="221"/>
    </row>
    <row r="38" spans="1:7" x14ac:dyDescent="0.25">
      <c r="A38" s="224">
        <v>44545</v>
      </c>
      <c r="B38" s="225">
        <v>0</v>
      </c>
      <c r="C38" s="226">
        <v>0</v>
      </c>
      <c r="D38" s="225">
        <v>1637750</v>
      </c>
      <c r="E38" s="225">
        <v>0</v>
      </c>
      <c r="F38" s="225">
        <v>0</v>
      </c>
      <c r="G38" s="225">
        <f>SUM(B38,D38:F38)</f>
        <v>1637750</v>
      </c>
    </row>
    <row r="39" spans="1:7" x14ac:dyDescent="0.25">
      <c r="A39" s="224">
        <v>44727</v>
      </c>
      <c r="B39" s="225">
        <v>0</v>
      </c>
      <c r="C39" s="226">
        <v>0</v>
      </c>
      <c r="D39" s="225">
        <v>1637750</v>
      </c>
      <c r="E39" s="225">
        <v>0</v>
      </c>
      <c r="F39" s="225">
        <v>0</v>
      </c>
      <c r="G39" s="225">
        <f>SUM(B39,D39:F39)</f>
        <v>1637750</v>
      </c>
    </row>
    <row r="40" spans="1:7" ht="15.6" x14ac:dyDescent="0.3">
      <c r="A40" s="216"/>
      <c r="B40" s="216"/>
      <c r="C40" s="216"/>
      <c r="D40" s="216"/>
      <c r="E40" s="214"/>
      <c r="F40" s="214"/>
      <c r="G40" s="214"/>
    </row>
    <row r="41" spans="1:7" x14ac:dyDescent="0.25">
      <c r="A41" s="123" t="s">
        <v>44</v>
      </c>
      <c r="B41" s="123"/>
      <c r="C41" s="124"/>
      <c r="D41" s="124"/>
      <c r="E41" s="124"/>
      <c r="F41" s="124"/>
      <c r="G41" s="124"/>
    </row>
    <row r="42" spans="1:7" x14ac:dyDescent="0.25">
      <c r="A42" s="217" t="s">
        <v>107</v>
      </c>
      <c r="B42" s="217"/>
      <c r="C42" s="218"/>
      <c r="D42" s="218"/>
      <c r="E42" s="218"/>
      <c r="F42" s="218"/>
      <c r="G42" s="218"/>
    </row>
    <row r="43" spans="1:7" x14ac:dyDescent="0.25">
      <c r="A43" s="219"/>
      <c r="B43" s="67"/>
      <c r="C43" s="67"/>
      <c r="D43" s="67"/>
      <c r="E43" s="67"/>
      <c r="F43" s="67"/>
      <c r="G43" s="67"/>
    </row>
    <row r="44" spans="1:7" x14ac:dyDescent="0.25">
      <c r="A44" s="220" t="s">
        <v>51</v>
      </c>
      <c r="E44" s="221" t="s">
        <v>31</v>
      </c>
      <c r="F44" s="221" t="s">
        <v>33</v>
      </c>
    </row>
    <row r="45" spans="1:7" ht="13.8" thickBot="1" x14ac:dyDescent="0.3">
      <c r="A45" s="222" t="s">
        <v>23</v>
      </c>
      <c r="B45" s="223" t="s">
        <v>21</v>
      </c>
      <c r="C45" s="223" t="s">
        <v>25</v>
      </c>
      <c r="D45" s="223" t="s">
        <v>32</v>
      </c>
      <c r="E45" s="223" t="s">
        <v>32</v>
      </c>
      <c r="F45" s="223" t="s">
        <v>32</v>
      </c>
      <c r="G45" s="223" t="s">
        <v>34</v>
      </c>
    </row>
    <row r="46" spans="1:7" x14ac:dyDescent="0.25">
      <c r="A46" s="220"/>
      <c r="B46" s="221"/>
      <c r="C46" s="221"/>
      <c r="D46" s="221"/>
      <c r="E46" s="221"/>
      <c r="F46" s="221"/>
      <c r="G46" s="221"/>
    </row>
    <row r="47" spans="1:7" x14ac:dyDescent="0.25">
      <c r="A47" s="224">
        <v>44545</v>
      </c>
      <c r="B47" s="225">
        <v>0</v>
      </c>
      <c r="C47" s="226">
        <v>0</v>
      </c>
      <c r="D47" s="225">
        <v>976778.875</v>
      </c>
      <c r="E47" s="225">
        <v>0</v>
      </c>
      <c r="F47" s="225">
        <v>0</v>
      </c>
      <c r="G47" s="225">
        <f>SUM(B47,D47:F47)</f>
        <v>976778.875</v>
      </c>
    </row>
    <row r="48" spans="1:7" x14ac:dyDescent="0.25">
      <c r="A48" s="224">
        <v>44727</v>
      </c>
      <c r="B48" s="225">
        <v>0</v>
      </c>
      <c r="C48" s="226">
        <v>0</v>
      </c>
      <c r="D48" s="225">
        <v>976778.875</v>
      </c>
      <c r="E48" s="225">
        <v>0</v>
      </c>
      <c r="F48" s="225">
        <v>0</v>
      </c>
      <c r="G48" s="225">
        <f>SUM(B48,D48:F48)</f>
        <v>976778.875</v>
      </c>
    </row>
    <row r="49" spans="1:7" ht="15.6" x14ac:dyDescent="0.3">
      <c r="A49" s="216"/>
      <c r="B49" s="216"/>
      <c r="C49" s="216"/>
      <c r="D49" s="216"/>
      <c r="E49" s="214"/>
      <c r="F49" s="214"/>
      <c r="G49" s="214"/>
    </row>
    <row r="50" spans="1:7" x14ac:dyDescent="0.25">
      <c r="A50" s="123" t="s">
        <v>44</v>
      </c>
      <c r="B50" s="123"/>
      <c r="C50" s="124"/>
      <c r="D50" s="124"/>
      <c r="E50" s="124"/>
      <c r="F50" s="124"/>
      <c r="G50" s="124"/>
    </row>
    <row r="51" spans="1:7" x14ac:dyDescent="0.25">
      <c r="A51" s="217" t="s">
        <v>108</v>
      </c>
      <c r="B51" s="217"/>
      <c r="C51" s="218"/>
      <c r="D51" s="218"/>
      <c r="E51" s="218"/>
      <c r="F51" s="218"/>
      <c r="G51" s="218"/>
    </row>
    <row r="52" spans="1:7" x14ac:dyDescent="0.25">
      <c r="A52" s="219"/>
      <c r="B52" s="67"/>
      <c r="C52" s="67"/>
      <c r="D52" s="67"/>
      <c r="E52" s="67"/>
      <c r="F52" s="67"/>
      <c r="G52" s="67"/>
    </row>
    <row r="53" spans="1:7" x14ac:dyDescent="0.25">
      <c r="A53" s="220" t="s">
        <v>51</v>
      </c>
      <c r="E53" s="221" t="s">
        <v>31</v>
      </c>
      <c r="F53" s="221" t="s">
        <v>33</v>
      </c>
    </row>
    <row r="54" spans="1:7" ht="13.8" thickBot="1" x14ac:dyDescent="0.3">
      <c r="A54" s="222" t="s">
        <v>23</v>
      </c>
      <c r="B54" s="223" t="s">
        <v>21</v>
      </c>
      <c r="C54" s="223" t="s">
        <v>25</v>
      </c>
      <c r="D54" s="223" t="s">
        <v>32</v>
      </c>
      <c r="E54" s="223" t="s">
        <v>32</v>
      </c>
      <c r="F54" s="223" t="s">
        <v>32</v>
      </c>
      <c r="G54" s="223" t="s">
        <v>34</v>
      </c>
    </row>
    <row r="55" spans="1:7" x14ac:dyDescent="0.25">
      <c r="A55" s="220"/>
      <c r="B55" s="221"/>
      <c r="C55" s="221"/>
      <c r="D55" s="221"/>
      <c r="E55" s="221"/>
      <c r="F55" s="221"/>
      <c r="G55" s="221"/>
    </row>
    <row r="56" spans="1:7" x14ac:dyDescent="0.25">
      <c r="A56" s="224">
        <v>44545</v>
      </c>
      <c r="B56" s="225">
        <v>0</v>
      </c>
      <c r="C56" s="226">
        <v>0</v>
      </c>
      <c r="D56" s="225">
        <v>976971.2</v>
      </c>
      <c r="E56" s="225">
        <v>0</v>
      </c>
      <c r="F56" s="225">
        <v>0</v>
      </c>
      <c r="G56" s="225">
        <f>SUM(B56,D56:F56)</f>
        <v>976971.2</v>
      </c>
    </row>
    <row r="57" spans="1:7" x14ac:dyDescent="0.25">
      <c r="A57" s="224">
        <v>44727</v>
      </c>
      <c r="B57" s="225">
        <v>0</v>
      </c>
      <c r="C57" s="226">
        <v>0</v>
      </c>
      <c r="D57" s="225">
        <v>976971.2</v>
      </c>
      <c r="E57" s="225">
        <v>0</v>
      </c>
      <c r="F57" s="225">
        <v>0</v>
      </c>
      <c r="G57" s="225">
        <f>SUM(B57,D57:F57)</f>
        <v>976971.2</v>
      </c>
    </row>
    <row r="58" spans="1:7" ht="15.6" x14ac:dyDescent="0.3">
      <c r="A58" s="216"/>
      <c r="B58" s="216"/>
      <c r="C58" s="216"/>
      <c r="D58" s="216"/>
      <c r="E58" s="214"/>
      <c r="F58" s="214"/>
      <c r="G58" s="214"/>
    </row>
    <row r="59" spans="1:7" x14ac:dyDescent="0.25">
      <c r="A59" s="123" t="s">
        <v>44</v>
      </c>
      <c r="B59" s="123"/>
      <c r="C59" s="124"/>
      <c r="D59" s="124"/>
      <c r="E59" s="124"/>
      <c r="F59" s="124"/>
      <c r="G59" s="124"/>
    </row>
    <row r="60" spans="1:7" x14ac:dyDescent="0.25">
      <c r="A60" s="217" t="s">
        <v>76</v>
      </c>
      <c r="B60" s="217"/>
      <c r="C60" s="218"/>
      <c r="D60" s="218"/>
      <c r="E60" s="218"/>
      <c r="F60" s="218"/>
      <c r="G60" s="218"/>
    </row>
    <row r="61" spans="1:7" x14ac:dyDescent="0.25">
      <c r="A61" s="219"/>
      <c r="B61" s="67"/>
      <c r="C61" s="67"/>
      <c r="D61" s="67"/>
      <c r="E61" s="67"/>
      <c r="F61" s="67"/>
      <c r="G61" s="67"/>
    </row>
    <row r="62" spans="1:7" x14ac:dyDescent="0.25">
      <c r="A62" s="220" t="s">
        <v>51</v>
      </c>
      <c r="E62" s="221" t="s">
        <v>31</v>
      </c>
      <c r="F62" s="221" t="s">
        <v>33</v>
      </c>
    </row>
    <row r="63" spans="1:7" ht="13.8" thickBot="1" x14ac:dyDescent="0.3">
      <c r="A63" s="222" t="s">
        <v>23</v>
      </c>
      <c r="B63" s="223" t="s">
        <v>21</v>
      </c>
      <c r="C63" s="223" t="s">
        <v>25</v>
      </c>
      <c r="D63" s="223" t="s">
        <v>32</v>
      </c>
      <c r="E63" s="223" t="s">
        <v>32</v>
      </c>
      <c r="F63" s="223" t="s">
        <v>32</v>
      </c>
      <c r="G63" s="223" t="s">
        <v>34</v>
      </c>
    </row>
    <row r="64" spans="1:7" x14ac:dyDescent="0.25">
      <c r="A64" s="220"/>
      <c r="B64" s="221"/>
      <c r="C64" s="221"/>
      <c r="D64" s="221"/>
      <c r="E64" s="221"/>
      <c r="F64" s="221"/>
      <c r="G64" s="221"/>
    </row>
    <row r="65" spans="1:7" x14ac:dyDescent="0.25">
      <c r="A65" s="224">
        <v>44545</v>
      </c>
      <c r="B65" s="225">
        <v>0</v>
      </c>
      <c r="C65" s="226">
        <v>0</v>
      </c>
      <c r="D65" s="225">
        <v>4750125</v>
      </c>
      <c r="E65" s="225">
        <v>0</v>
      </c>
      <c r="F65" s="225">
        <v>0</v>
      </c>
      <c r="G65" s="225">
        <f>SUM(B65,D65:F65)</f>
        <v>4750125</v>
      </c>
    </row>
    <row r="66" spans="1:7" x14ac:dyDescent="0.25">
      <c r="A66" s="224">
        <v>44727</v>
      </c>
      <c r="B66" s="225">
        <v>0</v>
      </c>
      <c r="C66" s="226">
        <v>0</v>
      </c>
      <c r="D66" s="225">
        <v>4750125</v>
      </c>
      <c r="E66" s="225">
        <v>0</v>
      </c>
      <c r="F66" s="225">
        <v>0</v>
      </c>
      <c r="G66" s="225">
        <f>SUM(B66,D66:F66)</f>
        <v>4750125</v>
      </c>
    </row>
    <row r="68" spans="1:7" x14ac:dyDescent="0.25">
      <c r="A68" s="123" t="s">
        <v>44</v>
      </c>
      <c r="B68" s="123"/>
      <c r="C68" s="124"/>
      <c r="D68" s="124"/>
      <c r="E68" s="124"/>
      <c r="F68" s="124"/>
      <c r="G68" s="124"/>
    </row>
    <row r="69" spans="1:7" x14ac:dyDescent="0.25">
      <c r="A69" s="217" t="s">
        <v>77</v>
      </c>
      <c r="B69" s="217"/>
      <c r="C69" s="218"/>
      <c r="D69" s="218"/>
      <c r="E69" s="218"/>
      <c r="F69" s="218"/>
      <c r="G69" s="218"/>
    </row>
    <row r="70" spans="1:7" x14ac:dyDescent="0.25">
      <c r="A70" s="219"/>
      <c r="B70" s="67"/>
      <c r="C70" s="67"/>
      <c r="D70" s="67"/>
      <c r="E70" s="67"/>
      <c r="F70" s="67"/>
      <c r="G70" s="67"/>
    </row>
    <row r="71" spans="1:7" x14ac:dyDescent="0.25">
      <c r="A71" s="220" t="s">
        <v>51</v>
      </c>
      <c r="E71" s="221" t="s">
        <v>31</v>
      </c>
      <c r="F71" s="221" t="s">
        <v>33</v>
      </c>
    </row>
    <row r="72" spans="1:7" ht="13.8" thickBot="1" x14ac:dyDescent="0.3">
      <c r="A72" s="222" t="s">
        <v>23</v>
      </c>
      <c r="B72" s="223" t="s">
        <v>21</v>
      </c>
      <c r="C72" s="223" t="s">
        <v>25</v>
      </c>
      <c r="D72" s="223" t="s">
        <v>32</v>
      </c>
      <c r="E72" s="223" t="s">
        <v>32</v>
      </c>
      <c r="F72" s="223" t="s">
        <v>32</v>
      </c>
      <c r="G72" s="223" t="s">
        <v>34</v>
      </c>
    </row>
    <row r="73" spans="1:7" x14ac:dyDescent="0.25">
      <c r="A73" s="220"/>
      <c r="B73" s="221"/>
      <c r="C73" s="221"/>
      <c r="D73" s="221"/>
      <c r="E73" s="221"/>
      <c r="F73" s="221"/>
      <c r="G73" s="221"/>
    </row>
    <row r="74" spans="1:7" x14ac:dyDescent="0.25">
      <c r="A74" s="224">
        <v>44545</v>
      </c>
      <c r="B74" s="225">
        <v>0</v>
      </c>
      <c r="C74" s="226">
        <v>0</v>
      </c>
      <c r="D74" s="225">
        <v>1460250</v>
      </c>
      <c r="E74" s="225">
        <v>0</v>
      </c>
      <c r="F74" s="225">
        <v>0</v>
      </c>
      <c r="G74" s="225">
        <f>SUM(B74,D74:F74)</f>
        <v>1460250</v>
      </c>
    </row>
    <row r="75" spans="1:7" x14ac:dyDescent="0.25">
      <c r="A75" s="224">
        <v>44727</v>
      </c>
      <c r="B75" s="225">
        <v>0</v>
      </c>
      <c r="C75" s="226">
        <v>0</v>
      </c>
      <c r="D75" s="225">
        <v>1460250</v>
      </c>
      <c r="E75" s="225">
        <v>0</v>
      </c>
      <c r="F75" s="225">
        <v>0</v>
      </c>
      <c r="G75" s="225">
        <f>SUM(B75,D75:F75)</f>
        <v>1460250</v>
      </c>
    </row>
    <row r="76" spans="1:7" x14ac:dyDescent="0.25">
      <c r="A76" s="151"/>
    </row>
    <row r="77" spans="1:7" x14ac:dyDescent="0.25">
      <c r="A77" s="123" t="s">
        <v>44</v>
      </c>
      <c r="B77" s="123"/>
      <c r="C77" s="124"/>
      <c r="D77" s="124"/>
      <c r="E77" s="124"/>
      <c r="F77" s="124"/>
      <c r="G77" s="124"/>
    </row>
    <row r="78" spans="1:7" x14ac:dyDescent="0.25">
      <c r="A78" s="217" t="s">
        <v>78</v>
      </c>
      <c r="B78" s="217"/>
      <c r="C78" s="218"/>
      <c r="D78" s="218"/>
      <c r="E78" s="218"/>
      <c r="F78" s="218"/>
      <c r="G78" s="218"/>
    </row>
    <row r="79" spans="1:7" x14ac:dyDescent="0.25">
      <c r="A79" s="219"/>
      <c r="B79" s="67"/>
      <c r="C79" s="67"/>
      <c r="D79" s="67"/>
      <c r="E79" s="67"/>
      <c r="F79" s="67"/>
      <c r="G79" s="67"/>
    </row>
    <row r="80" spans="1:7" x14ac:dyDescent="0.25">
      <c r="A80" s="220" t="s">
        <v>51</v>
      </c>
      <c r="E80" s="221" t="s">
        <v>31</v>
      </c>
      <c r="F80" s="221" t="s">
        <v>33</v>
      </c>
    </row>
    <row r="81" spans="1:7" ht="13.8" thickBot="1" x14ac:dyDescent="0.3">
      <c r="A81" s="222" t="s">
        <v>23</v>
      </c>
      <c r="B81" s="223" t="s">
        <v>21</v>
      </c>
      <c r="C81" s="223" t="s">
        <v>25</v>
      </c>
      <c r="D81" s="223" t="s">
        <v>32</v>
      </c>
      <c r="E81" s="223" t="s">
        <v>32</v>
      </c>
      <c r="F81" s="223" t="s">
        <v>32</v>
      </c>
      <c r="G81" s="223" t="s">
        <v>34</v>
      </c>
    </row>
    <row r="82" spans="1:7" x14ac:dyDescent="0.25">
      <c r="A82" s="220"/>
      <c r="B82" s="221"/>
      <c r="C82" s="221"/>
      <c r="D82" s="221"/>
      <c r="E82" s="221"/>
      <c r="F82" s="221"/>
      <c r="G82" s="221"/>
    </row>
    <row r="83" spans="1:7" x14ac:dyDescent="0.25">
      <c r="A83" s="224">
        <v>44545</v>
      </c>
      <c r="B83" s="225">
        <v>0</v>
      </c>
      <c r="C83" s="226">
        <v>0</v>
      </c>
      <c r="D83" s="225">
        <v>3425625</v>
      </c>
      <c r="E83" s="225">
        <v>0</v>
      </c>
      <c r="F83" s="225">
        <v>0</v>
      </c>
      <c r="G83" s="225">
        <f>SUM(B83,D83:F83)</f>
        <v>3425625</v>
      </c>
    </row>
    <row r="84" spans="1:7" x14ac:dyDescent="0.25">
      <c r="A84" s="224">
        <v>44727</v>
      </c>
      <c r="B84" s="225">
        <v>0</v>
      </c>
      <c r="C84" s="226">
        <v>0</v>
      </c>
      <c r="D84" s="225">
        <v>3425625</v>
      </c>
      <c r="E84" s="225">
        <v>0</v>
      </c>
      <c r="F84" s="225">
        <v>0</v>
      </c>
      <c r="G84" s="225">
        <f>SUM(B84,D84:F84)</f>
        <v>3425625</v>
      </c>
    </row>
    <row r="86" spans="1:7" x14ac:dyDescent="0.25">
      <c r="A86" s="123" t="s">
        <v>44</v>
      </c>
      <c r="B86" s="123"/>
      <c r="C86" s="124"/>
      <c r="D86" s="124"/>
      <c r="E86" s="124"/>
      <c r="F86" s="124"/>
      <c r="G86" s="124"/>
    </row>
    <row r="87" spans="1:7" x14ac:dyDescent="0.25">
      <c r="A87" s="217" t="s">
        <v>79</v>
      </c>
      <c r="B87" s="217"/>
      <c r="C87" s="218"/>
      <c r="D87" s="218"/>
      <c r="E87" s="218"/>
      <c r="F87" s="218"/>
      <c r="G87" s="218"/>
    </row>
    <row r="88" spans="1:7" x14ac:dyDescent="0.25">
      <c r="A88" s="219"/>
      <c r="B88" s="67"/>
      <c r="C88" s="67"/>
      <c r="D88" s="67"/>
      <c r="E88" s="67"/>
      <c r="F88" s="67"/>
      <c r="G88" s="67"/>
    </row>
    <row r="89" spans="1:7" x14ac:dyDescent="0.25">
      <c r="A89" s="220" t="s">
        <v>51</v>
      </c>
      <c r="E89" s="221" t="s">
        <v>31</v>
      </c>
      <c r="F89" s="221" t="s">
        <v>33</v>
      </c>
    </row>
    <row r="90" spans="1:7" ht="13.8" thickBot="1" x14ac:dyDescent="0.3">
      <c r="A90" s="222" t="s">
        <v>23</v>
      </c>
      <c r="B90" s="223" t="s">
        <v>21</v>
      </c>
      <c r="C90" s="223" t="s">
        <v>25</v>
      </c>
      <c r="D90" s="223" t="s">
        <v>32</v>
      </c>
      <c r="E90" s="223" t="s">
        <v>32</v>
      </c>
      <c r="F90" s="223" t="s">
        <v>32</v>
      </c>
      <c r="G90" s="223" t="s">
        <v>34</v>
      </c>
    </row>
    <row r="91" spans="1:7" x14ac:dyDescent="0.25">
      <c r="A91" s="220"/>
      <c r="B91" s="221"/>
      <c r="C91" s="221"/>
      <c r="D91" s="221"/>
      <c r="E91" s="221"/>
      <c r="F91" s="221"/>
      <c r="G91" s="221"/>
    </row>
    <row r="92" spans="1:7" x14ac:dyDescent="0.25">
      <c r="A92" s="224">
        <v>44545</v>
      </c>
      <c r="B92" s="225">
        <v>0</v>
      </c>
      <c r="C92" s="226">
        <v>0</v>
      </c>
      <c r="D92" s="225">
        <v>1655375</v>
      </c>
      <c r="E92" s="225">
        <v>0</v>
      </c>
      <c r="F92" s="225">
        <v>0</v>
      </c>
      <c r="G92" s="225">
        <f>SUM(B92,D92:F92)</f>
        <v>1655375</v>
      </c>
    </row>
    <row r="93" spans="1:7" x14ac:dyDescent="0.25">
      <c r="A93" s="224">
        <v>44727</v>
      </c>
      <c r="B93" s="225">
        <v>0</v>
      </c>
      <c r="C93" s="226">
        <v>0</v>
      </c>
      <c r="D93" s="225">
        <v>1655375</v>
      </c>
      <c r="E93" s="225">
        <v>0</v>
      </c>
      <c r="F93" s="225">
        <v>0</v>
      </c>
      <c r="G93" s="225">
        <f>SUM(B93,D93:F93)</f>
        <v>1655375</v>
      </c>
    </row>
    <row r="95" spans="1:7" x14ac:dyDescent="0.25">
      <c r="A95" s="123" t="s">
        <v>44</v>
      </c>
      <c r="B95" s="123"/>
      <c r="C95" s="124"/>
      <c r="D95" s="124"/>
      <c r="E95" s="124"/>
      <c r="F95" s="124"/>
      <c r="G95" s="124"/>
    </row>
    <row r="96" spans="1:7" x14ac:dyDescent="0.25">
      <c r="A96" s="217" t="s">
        <v>80</v>
      </c>
      <c r="B96" s="217"/>
      <c r="C96" s="218"/>
      <c r="D96" s="218"/>
      <c r="E96" s="218"/>
      <c r="F96" s="218"/>
      <c r="G96" s="218"/>
    </row>
    <row r="97" spans="1:7" x14ac:dyDescent="0.25">
      <c r="A97" s="219"/>
      <c r="B97" s="67"/>
      <c r="C97" s="67"/>
      <c r="D97" s="67"/>
      <c r="E97" s="67"/>
      <c r="F97" s="67"/>
      <c r="G97" s="67"/>
    </row>
    <row r="98" spans="1:7" x14ac:dyDescent="0.25">
      <c r="A98" s="220" t="s">
        <v>51</v>
      </c>
      <c r="E98" s="221" t="s">
        <v>31</v>
      </c>
      <c r="F98" s="221" t="s">
        <v>33</v>
      </c>
    </row>
    <row r="99" spans="1:7" ht="13.8" thickBot="1" x14ac:dyDescent="0.3">
      <c r="A99" s="222" t="s">
        <v>23</v>
      </c>
      <c r="B99" s="223" t="s">
        <v>21</v>
      </c>
      <c r="C99" s="223" t="s">
        <v>25</v>
      </c>
      <c r="D99" s="223" t="s">
        <v>32</v>
      </c>
      <c r="E99" s="223" t="s">
        <v>32</v>
      </c>
      <c r="F99" s="223" t="s">
        <v>32</v>
      </c>
      <c r="G99" s="223" t="s">
        <v>34</v>
      </c>
    </row>
    <row r="100" spans="1:7" x14ac:dyDescent="0.25">
      <c r="A100" s="220"/>
      <c r="B100" s="221"/>
      <c r="C100" s="221"/>
      <c r="D100" s="221"/>
      <c r="E100" s="221"/>
      <c r="F100" s="221"/>
      <c r="G100" s="221"/>
    </row>
    <row r="101" spans="1:7" x14ac:dyDescent="0.25">
      <c r="A101" s="224">
        <v>44545</v>
      </c>
      <c r="B101" s="225">
        <v>0</v>
      </c>
      <c r="C101" s="226">
        <v>0</v>
      </c>
      <c r="D101" s="225">
        <v>2426875</v>
      </c>
      <c r="E101" s="225">
        <v>0</v>
      </c>
      <c r="F101" s="225">
        <v>0</v>
      </c>
      <c r="G101" s="225">
        <f>SUM(B101,D101:F101)</f>
        <v>2426875</v>
      </c>
    </row>
    <row r="102" spans="1:7" x14ac:dyDescent="0.25">
      <c r="A102" s="224">
        <v>44727</v>
      </c>
      <c r="B102" s="225">
        <v>0</v>
      </c>
      <c r="C102" s="226">
        <v>0</v>
      </c>
      <c r="D102" s="225">
        <v>2426875</v>
      </c>
      <c r="E102" s="225">
        <v>0</v>
      </c>
      <c r="F102" s="225">
        <v>0</v>
      </c>
      <c r="G102" s="225">
        <f>SUM(B102,D102:F102)</f>
        <v>2426875</v>
      </c>
    </row>
    <row r="104" spans="1:7" x14ac:dyDescent="0.25">
      <c r="A104" s="123" t="s">
        <v>44</v>
      </c>
      <c r="B104" s="123"/>
      <c r="C104" s="124"/>
      <c r="D104" s="124"/>
      <c r="E104" s="124"/>
      <c r="F104" s="124"/>
      <c r="G104" s="124"/>
    </row>
    <row r="105" spans="1:7" x14ac:dyDescent="0.25">
      <c r="A105" s="217" t="s">
        <v>81</v>
      </c>
      <c r="B105" s="217"/>
      <c r="C105" s="218"/>
      <c r="D105" s="218"/>
      <c r="E105" s="218"/>
      <c r="F105" s="218"/>
      <c r="G105" s="218"/>
    </row>
    <row r="106" spans="1:7" x14ac:dyDescent="0.25">
      <c r="A106" s="219"/>
      <c r="B106" s="67"/>
      <c r="C106" s="67"/>
      <c r="D106" s="67"/>
      <c r="E106" s="67"/>
      <c r="F106" s="67"/>
      <c r="G106" s="67"/>
    </row>
    <row r="107" spans="1:7" x14ac:dyDescent="0.25">
      <c r="A107" s="220" t="s">
        <v>51</v>
      </c>
      <c r="E107" s="221" t="s">
        <v>31</v>
      </c>
      <c r="F107" s="221" t="s">
        <v>33</v>
      </c>
    </row>
    <row r="108" spans="1:7" ht="13.8" thickBot="1" x14ac:dyDescent="0.3">
      <c r="A108" s="222" t="s">
        <v>23</v>
      </c>
      <c r="B108" s="223" t="s">
        <v>21</v>
      </c>
      <c r="C108" s="223" t="s">
        <v>25</v>
      </c>
      <c r="D108" s="223" t="s">
        <v>32</v>
      </c>
      <c r="E108" s="223" t="s">
        <v>32</v>
      </c>
      <c r="F108" s="223" t="s">
        <v>32</v>
      </c>
      <c r="G108" s="223" t="s">
        <v>34</v>
      </c>
    </row>
    <row r="109" spans="1:7" x14ac:dyDescent="0.25">
      <c r="A109" s="220"/>
      <c r="B109" s="221"/>
      <c r="C109" s="221"/>
      <c r="D109" s="221"/>
      <c r="E109" s="221"/>
      <c r="F109" s="221"/>
      <c r="G109" s="221"/>
    </row>
    <row r="110" spans="1:7" x14ac:dyDescent="0.25">
      <c r="A110" s="224">
        <v>44545</v>
      </c>
      <c r="B110" s="225">
        <v>0</v>
      </c>
      <c r="C110" s="226">
        <v>0</v>
      </c>
      <c r="D110" s="225">
        <v>14230437.5</v>
      </c>
      <c r="E110" s="225">
        <v>0</v>
      </c>
      <c r="F110" s="225">
        <v>0</v>
      </c>
      <c r="G110" s="225">
        <f>SUM(B110,D110:F110)</f>
        <v>14230437.5</v>
      </c>
    </row>
    <row r="111" spans="1:7" x14ac:dyDescent="0.25">
      <c r="A111" s="224">
        <v>44727</v>
      </c>
      <c r="B111" s="225">
        <v>0</v>
      </c>
      <c r="C111" s="226">
        <v>0</v>
      </c>
      <c r="D111" s="225">
        <v>14230437.5</v>
      </c>
      <c r="E111" s="225">
        <v>0</v>
      </c>
      <c r="F111" s="225">
        <v>0</v>
      </c>
      <c r="G111" s="225">
        <f>SUM(B111,D111:F111)</f>
        <v>14230437.5</v>
      </c>
    </row>
    <row r="112" spans="1:7" x14ac:dyDescent="0.25">
      <c r="A112" s="224"/>
      <c r="B112" s="225"/>
      <c r="C112" s="226"/>
      <c r="D112" s="225"/>
      <c r="E112" s="225"/>
      <c r="F112" s="225"/>
      <c r="G112" s="225"/>
    </row>
    <row r="113" spans="1:7" x14ac:dyDescent="0.25">
      <c r="A113" s="123" t="s">
        <v>44</v>
      </c>
      <c r="B113" s="123"/>
      <c r="C113" s="124"/>
      <c r="D113" s="124"/>
      <c r="E113" s="124"/>
      <c r="F113" s="124"/>
      <c r="G113" s="124"/>
    </row>
    <row r="114" spans="1:7" x14ac:dyDescent="0.25">
      <c r="A114" s="217" t="s">
        <v>82</v>
      </c>
      <c r="B114" s="217"/>
      <c r="C114" s="218"/>
      <c r="D114" s="218"/>
      <c r="E114" s="218"/>
      <c r="F114" s="218"/>
      <c r="G114" s="218"/>
    </row>
    <row r="115" spans="1:7" x14ac:dyDescent="0.25">
      <c r="A115" s="219"/>
      <c r="B115" s="67"/>
      <c r="C115" s="67"/>
      <c r="D115" s="67"/>
      <c r="E115" s="67"/>
      <c r="F115" s="67"/>
      <c r="G115" s="67"/>
    </row>
    <row r="116" spans="1:7" x14ac:dyDescent="0.25">
      <c r="A116" s="220" t="s">
        <v>51</v>
      </c>
      <c r="E116" s="221" t="s">
        <v>31</v>
      </c>
      <c r="F116" s="221" t="s">
        <v>33</v>
      </c>
    </row>
    <row r="117" spans="1:7" ht="13.8" thickBot="1" x14ac:dyDescent="0.3">
      <c r="A117" s="222" t="s">
        <v>23</v>
      </c>
      <c r="B117" s="223" t="s">
        <v>21</v>
      </c>
      <c r="C117" s="223" t="s">
        <v>25</v>
      </c>
      <c r="D117" s="223" t="s">
        <v>32</v>
      </c>
      <c r="E117" s="223" t="s">
        <v>32</v>
      </c>
      <c r="F117" s="223" t="s">
        <v>32</v>
      </c>
      <c r="G117" s="223" t="s">
        <v>34</v>
      </c>
    </row>
    <row r="118" spans="1:7" x14ac:dyDescent="0.25">
      <c r="A118" s="220"/>
      <c r="B118" s="221"/>
      <c r="C118" s="221"/>
      <c r="D118" s="221"/>
      <c r="E118" s="221"/>
      <c r="F118" s="221"/>
      <c r="G118" s="221"/>
    </row>
    <row r="119" spans="1:7" x14ac:dyDescent="0.25">
      <c r="A119" s="224">
        <v>44545</v>
      </c>
      <c r="B119" s="225">
        <v>0</v>
      </c>
      <c r="C119" s="226">
        <v>0</v>
      </c>
      <c r="D119" s="225">
        <v>2537162.5</v>
      </c>
      <c r="E119" s="225">
        <v>0</v>
      </c>
      <c r="F119" s="225">
        <v>0</v>
      </c>
      <c r="G119" s="225">
        <f>SUM(B119,D119:F119)</f>
        <v>2537162.5</v>
      </c>
    </row>
    <row r="120" spans="1:7" x14ac:dyDescent="0.25">
      <c r="A120" s="224">
        <v>44727</v>
      </c>
      <c r="B120" s="225">
        <v>0</v>
      </c>
      <c r="C120" s="226">
        <v>0</v>
      </c>
      <c r="D120" s="225">
        <v>2537162.5</v>
      </c>
      <c r="E120" s="225">
        <v>0</v>
      </c>
      <c r="F120" s="225">
        <v>0</v>
      </c>
      <c r="G120" s="225">
        <f>SUM(B120,D120:F120)</f>
        <v>2537162.5</v>
      </c>
    </row>
    <row r="122" spans="1:7" x14ac:dyDescent="0.25">
      <c r="A122" s="123" t="s">
        <v>44</v>
      </c>
      <c r="B122" s="123"/>
      <c r="C122" s="124"/>
      <c r="D122" s="124"/>
      <c r="E122" s="124"/>
      <c r="F122" s="124"/>
      <c r="G122" s="124"/>
    </row>
    <row r="123" spans="1:7" x14ac:dyDescent="0.25">
      <c r="A123" s="217" t="s">
        <v>83</v>
      </c>
      <c r="B123" s="217"/>
      <c r="C123" s="218"/>
      <c r="D123" s="218"/>
      <c r="E123" s="218"/>
      <c r="F123" s="218"/>
      <c r="G123" s="218"/>
    </row>
    <row r="124" spans="1:7" x14ac:dyDescent="0.25">
      <c r="A124" s="219"/>
      <c r="B124" s="67"/>
      <c r="C124" s="67"/>
      <c r="D124" s="67"/>
      <c r="E124" s="67"/>
      <c r="F124" s="67"/>
      <c r="G124" s="67"/>
    </row>
    <row r="125" spans="1:7" x14ac:dyDescent="0.25">
      <c r="A125" s="220" t="s">
        <v>51</v>
      </c>
      <c r="E125" s="221" t="s">
        <v>31</v>
      </c>
      <c r="F125" s="221" t="s">
        <v>33</v>
      </c>
    </row>
    <row r="126" spans="1:7" ht="13.8" thickBot="1" x14ac:dyDescent="0.3">
      <c r="A126" s="222" t="s">
        <v>23</v>
      </c>
      <c r="B126" s="223" t="s">
        <v>21</v>
      </c>
      <c r="C126" s="223" t="s">
        <v>25</v>
      </c>
      <c r="D126" s="223" t="s">
        <v>32</v>
      </c>
      <c r="E126" s="223" t="s">
        <v>32</v>
      </c>
      <c r="F126" s="223" t="s">
        <v>32</v>
      </c>
      <c r="G126" s="223" t="s">
        <v>34</v>
      </c>
    </row>
    <row r="127" spans="1:7" x14ac:dyDescent="0.25">
      <c r="A127" s="220"/>
      <c r="B127" s="221"/>
      <c r="C127" s="221"/>
      <c r="D127" s="221"/>
      <c r="E127" s="221"/>
      <c r="F127" s="221"/>
      <c r="G127" s="221"/>
    </row>
    <row r="128" spans="1:7" x14ac:dyDescent="0.25">
      <c r="A128" s="224">
        <v>44545</v>
      </c>
      <c r="B128" s="225">
        <v>0</v>
      </c>
      <c r="C128" s="226">
        <v>0</v>
      </c>
      <c r="D128" s="225">
        <v>240967.5</v>
      </c>
      <c r="E128" s="225">
        <v>0</v>
      </c>
      <c r="F128" s="225">
        <v>0</v>
      </c>
      <c r="G128" s="225">
        <f>SUM(B128,D128:F128)</f>
        <v>240967.5</v>
      </c>
    </row>
    <row r="129" spans="1:8" x14ac:dyDescent="0.25">
      <c r="A129" s="224">
        <v>44727</v>
      </c>
      <c r="B129" s="225">
        <v>0</v>
      </c>
      <c r="C129" s="226">
        <v>0</v>
      </c>
      <c r="D129" s="225">
        <v>240967.5</v>
      </c>
      <c r="E129" s="225">
        <v>0</v>
      </c>
      <c r="F129" s="225">
        <v>0</v>
      </c>
      <c r="G129" s="225">
        <f>SUM(B129,D129:F129)</f>
        <v>240967.5</v>
      </c>
    </row>
    <row r="130" spans="1:8" customFormat="1" x14ac:dyDescent="0.25">
      <c r="H130" s="215"/>
    </row>
    <row r="131" spans="1:8" hidden="1" x14ac:dyDescent="0.25">
      <c r="A131" s="123" t="s">
        <v>44</v>
      </c>
      <c r="B131" s="123"/>
      <c r="C131" s="124"/>
      <c r="D131" s="124"/>
      <c r="E131" s="124"/>
      <c r="F131" s="124"/>
      <c r="G131" s="124"/>
    </row>
    <row r="132" spans="1:8" hidden="1" x14ac:dyDescent="0.25">
      <c r="A132" s="217" t="s">
        <v>84</v>
      </c>
      <c r="B132" s="217"/>
      <c r="C132" s="218"/>
      <c r="D132" s="218"/>
      <c r="E132" s="218"/>
      <c r="F132" s="218"/>
      <c r="G132" s="218"/>
    </row>
    <row r="133" spans="1:8" hidden="1" x14ac:dyDescent="0.25">
      <c r="A133" s="219"/>
      <c r="B133" s="67"/>
      <c r="C133" s="67"/>
      <c r="D133" s="67"/>
      <c r="E133" s="67"/>
      <c r="F133" s="67"/>
      <c r="G133" s="67"/>
    </row>
    <row r="134" spans="1:8" hidden="1" x14ac:dyDescent="0.25">
      <c r="A134" s="220" t="s">
        <v>51</v>
      </c>
      <c r="E134" s="221" t="s">
        <v>31</v>
      </c>
      <c r="F134" s="221" t="s">
        <v>33</v>
      </c>
    </row>
    <row r="135" spans="1:8" ht="13.8" hidden="1" thickBot="1" x14ac:dyDescent="0.3">
      <c r="A135" s="222" t="s">
        <v>23</v>
      </c>
      <c r="B135" s="223" t="s">
        <v>21</v>
      </c>
      <c r="C135" s="223" t="s">
        <v>25</v>
      </c>
      <c r="D135" s="223" t="s">
        <v>32</v>
      </c>
      <c r="E135" s="223" t="s">
        <v>32</v>
      </c>
      <c r="F135" s="223" t="s">
        <v>32</v>
      </c>
      <c r="G135" s="223" t="s">
        <v>34</v>
      </c>
    </row>
    <row r="136" spans="1:8" hidden="1" x14ac:dyDescent="0.25">
      <c r="A136" s="220"/>
      <c r="B136" s="221"/>
      <c r="C136" s="221"/>
      <c r="D136" s="221"/>
      <c r="E136" s="221"/>
      <c r="F136" s="221"/>
      <c r="G136" s="221"/>
    </row>
    <row r="137" spans="1:8" hidden="1" x14ac:dyDescent="0.25">
      <c r="A137" s="224">
        <v>43814</v>
      </c>
      <c r="B137" s="225">
        <v>0</v>
      </c>
      <c r="C137" s="226">
        <v>0</v>
      </c>
      <c r="D137" s="225">
        <v>0</v>
      </c>
      <c r="E137" s="225">
        <v>0</v>
      </c>
      <c r="F137" s="225">
        <v>0</v>
      </c>
      <c r="G137" s="225">
        <f>SUM(B137,D137:F137)</f>
        <v>0</v>
      </c>
    </row>
    <row r="138" spans="1:8" hidden="1" x14ac:dyDescent="0.25">
      <c r="A138" s="224">
        <v>43997</v>
      </c>
      <c r="B138" s="225">
        <v>0</v>
      </c>
      <c r="C138" s="226">
        <v>0</v>
      </c>
      <c r="D138" s="225">
        <v>0</v>
      </c>
      <c r="E138" s="225">
        <v>0</v>
      </c>
      <c r="F138" s="225">
        <v>0</v>
      </c>
      <c r="G138" s="225">
        <f>SUM(B138,D138:F138)</f>
        <v>0</v>
      </c>
    </row>
    <row r="139" spans="1:8" hidden="1" x14ac:dyDescent="0.25"/>
    <row r="140" spans="1:8" x14ac:dyDescent="0.25">
      <c r="A140" s="123" t="s">
        <v>44</v>
      </c>
      <c r="B140" s="123"/>
      <c r="C140" s="124"/>
      <c r="D140" s="124"/>
      <c r="E140" s="124"/>
      <c r="F140" s="124"/>
      <c r="G140" s="124"/>
    </row>
    <row r="141" spans="1:8" x14ac:dyDescent="0.25">
      <c r="A141" s="217" t="s">
        <v>85</v>
      </c>
      <c r="B141" s="217"/>
      <c r="C141" s="218"/>
      <c r="D141" s="218"/>
      <c r="E141" s="218"/>
      <c r="F141" s="218"/>
      <c r="G141" s="218"/>
    </row>
    <row r="142" spans="1:8" x14ac:dyDescent="0.25">
      <c r="A142" s="219"/>
      <c r="B142" s="67"/>
      <c r="C142" s="67"/>
      <c r="D142" s="67"/>
      <c r="E142" s="67"/>
      <c r="F142" s="67"/>
      <c r="G142" s="67"/>
    </row>
    <row r="143" spans="1:8" x14ac:dyDescent="0.25">
      <c r="A143" s="220" t="s">
        <v>51</v>
      </c>
      <c r="E143" s="221" t="s">
        <v>31</v>
      </c>
      <c r="F143" s="221" t="s">
        <v>33</v>
      </c>
    </row>
    <row r="144" spans="1:8" ht="13.8" thickBot="1" x14ac:dyDescent="0.3">
      <c r="A144" s="222" t="s">
        <v>23</v>
      </c>
      <c r="B144" s="223" t="s">
        <v>21</v>
      </c>
      <c r="C144" s="223" t="s">
        <v>25</v>
      </c>
      <c r="D144" s="223" t="s">
        <v>32</v>
      </c>
      <c r="E144" s="223" t="s">
        <v>32</v>
      </c>
      <c r="F144" s="223" t="s">
        <v>32</v>
      </c>
      <c r="G144" s="223" t="s">
        <v>34</v>
      </c>
    </row>
    <row r="145" spans="1:7" x14ac:dyDescent="0.25">
      <c r="A145" s="220"/>
      <c r="B145" s="221"/>
      <c r="C145" s="221"/>
      <c r="D145" s="221"/>
      <c r="E145" s="221"/>
      <c r="F145" s="221"/>
      <c r="G145" s="221"/>
    </row>
    <row r="146" spans="1:7" x14ac:dyDescent="0.25">
      <c r="A146" s="224">
        <v>44545</v>
      </c>
      <c r="B146" s="225">
        <v>0</v>
      </c>
      <c r="C146" s="101">
        <v>0</v>
      </c>
      <c r="D146" s="225">
        <v>221650</v>
      </c>
      <c r="E146" s="225">
        <v>0</v>
      </c>
      <c r="F146" s="225">
        <v>0</v>
      </c>
      <c r="G146" s="225">
        <f>SUM(B146,D146:F146)</f>
        <v>221650</v>
      </c>
    </row>
    <row r="147" spans="1:7" x14ac:dyDescent="0.25">
      <c r="A147" s="224">
        <v>44727</v>
      </c>
      <c r="B147" s="225">
        <v>0</v>
      </c>
      <c r="C147" s="101">
        <v>0</v>
      </c>
      <c r="D147" s="225">
        <v>221650</v>
      </c>
      <c r="E147" s="225">
        <v>0</v>
      </c>
      <c r="F147" s="225">
        <v>0</v>
      </c>
      <c r="G147" s="225">
        <f>SUM(B147,D147:F147)</f>
        <v>221650</v>
      </c>
    </row>
    <row r="149" spans="1:7" x14ac:dyDescent="0.25">
      <c r="A149" s="123" t="s">
        <v>44</v>
      </c>
      <c r="B149" s="123"/>
      <c r="C149" s="124"/>
      <c r="D149" s="124"/>
      <c r="E149" s="124"/>
      <c r="F149" s="124"/>
      <c r="G149" s="124"/>
    </row>
    <row r="150" spans="1:7" x14ac:dyDescent="0.25">
      <c r="A150" s="217" t="s">
        <v>86</v>
      </c>
      <c r="B150" s="217"/>
      <c r="C150" s="218"/>
      <c r="D150" s="218"/>
      <c r="E150" s="218"/>
      <c r="F150" s="218"/>
      <c r="G150" s="218"/>
    </row>
    <row r="151" spans="1:7" x14ac:dyDescent="0.25">
      <c r="A151" s="219"/>
      <c r="B151" s="67"/>
      <c r="C151" s="67"/>
      <c r="D151" s="67"/>
      <c r="E151" s="67"/>
      <c r="F151" s="67"/>
      <c r="G151" s="67"/>
    </row>
    <row r="152" spans="1:7" x14ac:dyDescent="0.25">
      <c r="A152" s="220" t="s">
        <v>51</v>
      </c>
      <c r="E152" s="221" t="s">
        <v>31</v>
      </c>
      <c r="F152" s="221" t="s">
        <v>33</v>
      </c>
    </row>
    <row r="153" spans="1:7" ht="13.8" thickBot="1" x14ac:dyDescent="0.3">
      <c r="A153" s="222" t="s">
        <v>23</v>
      </c>
      <c r="B153" s="223" t="s">
        <v>21</v>
      </c>
      <c r="C153" s="223" t="s">
        <v>25</v>
      </c>
      <c r="D153" s="223" t="s">
        <v>32</v>
      </c>
      <c r="E153" s="223" t="s">
        <v>32</v>
      </c>
      <c r="F153" s="223" t="s">
        <v>32</v>
      </c>
      <c r="G153" s="223" t="s">
        <v>34</v>
      </c>
    </row>
    <row r="154" spans="1:7" x14ac:dyDescent="0.25">
      <c r="A154" s="220"/>
      <c r="B154" s="221"/>
      <c r="C154" s="221"/>
      <c r="D154" s="221"/>
      <c r="E154" s="221"/>
      <c r="F154" s="221"/>
      <c r="G154" s="221"/>
    </row>
    <row r="155" spans="1:7" x14ac:dyDescent="0.25">
      <c r="A155" s="224">
        <v>44545</v>
      </c>
      <c r="B155" s="225">
        <v>0</v>
      </c>
      <c r="C155" s="101">
        <v>0</v>
      </c>
      <c r="D155" s="225">
        <v>2126712.5</v>
      </c>
      <c r="E155" s="225">
        <v>0</v>
      </c>
      <c r="F155" s="225">
        <v>0</v>
      </c>
      <c r="G155" s="225">
        <f>SUM(B155,D155:F155)</f>
        <v>2126712.5</v>
      </c>
    </row>
    <row r="156" spans="1:7" x14ac:dyDescent="0.25">
      <c r="A156" s="224">
        <v>44727</v>
      </c>
      <c r="B156" s="225">
        <v>0</v>
      </c>
      <c r="C156" s="101">
        <v>0</v>
      </c>
      <c r="D156" s="225">
        <v>2126712.5</v>
      </c>
      <c r="E156" s="225">
        <v>0</v>
      </c>
      <c r="F156" s="225">
        <v>0</v>
      </c>
      <c r="G156" s="225">
        <f>SUM(B156,D156:F156)</f>
        <v>2126712.5</v>
      </c>
    </row>
    <row r="158" spans="1:7" x14ac:dyDescent="0.25">
      <c r="A158" s="123" t="s">
        <v>44</v>
      </c>
      <c r="B158" s="123"/>
      <c r="C158" s="124"/>
      <c r="D158" s="124"/>
      <c r="E158" s="124"/>
      <c r="F158" s="124"/>
      <c r="G158" s="124"/>
    </row>
    <row r="159" spans="1:7" x14ac:dyDescent="0.25">
      <c r="A159" s="217" t="s">
        <v>87</v>
      </c>
      <c r="B159" s="217"/>
      <c r="C159" s="218"/>
      <c r="D159" s="218"/>
      <c r="E159" s="218"/>
      <c r="F159" s="218"/>
      <c r="G159" s="218"/>
    </row>
    <row r="160" spans="1:7" x14ac:dyDescent="0.25">
      <c r="A160" s="219"/>
      <c r="B160" s="67"/>
      <c r="C160" s="67"/>
      <c r="D160" s="67"/>
      <c r="E160" s="67"/>
      <c r="F160" s="67"/>
      <c r="G160" s="67"/>
    </row>
    <row r="161" spans="1:7" x14ac:dyDescent="0.25">
      <c r="A161" s="220" t="s">
        <v>51</v>
      </c>
      <c r="E161" s="221" t="s">
        <v>31</v>
      </c>
      <c r="F161" s="221" t="s">
        <v>33</v>
      </c>
    </row>
    <row r="162" spans="1:7" ht="13.8" thickBot="1" x14ac:dyDescent="0.3">
      <c r="A162" s="222" t="s">
        <v>23</v>
      </c>
      <c r="B162" s="223" t="s">
        <v>21</v>
      </c>
      <c r="C162" s="223" t="s">
        <v>25</v>
      </c>
      <c r="D162" s="223" t="s">
        <v>32</v>
      </c>
      <c r="E162" s="223" t="s">
        <v>32</v>
      </c>
      <c r="F162" s="223" t="s">
        <v>32</v>
      </c>
      <c r="G162" s="223" t="s">
        <v>34</v>
      </c>
    </row>
    <row r="163" spans="1:7" x14ac:dyDescent="0.25">
      <c r="A163" s="220"/>
      <c r="B163" s="221"/>
      <c r="C163" s="221"/>
      <c r="D163" s="221"/>
      <c r="E163" s="221"/>
      <c r="F163" s="221"/>
      <c r="G163" s="221"/>
    </row>
    <row r="164" spans="1:7" x14ac:dyDescent="0.25">
      <c r="A164" s="224">
        <v>44545</v>
      </c>
      <c r="B164" s="225">
        <v>0</v>
      </c>
      <c r="C164" s="226">
        <v>0</v>
      </c>
      <c r="D164" s="225">
        <v>0</v>
      </c>
      <c r="E164" s="225">
        <v>0</v>
      </c>
      <c r="F164" s="225">
        <v>0</v>
      </c>
      <c r="G164" s="225">
        <f>SUM(B164,D164:F164)</f>
        <v>0</v>
      </c>
    </row>
    <row r="165" spans="1:7" x14ac:dyDescent="0.25">
      <c r="A165" s="224">
        <v>44727</v>
      </c>
      <c r="B165" s="225">
        <v>0</v>
      </c>
      <c r="C165" s="226">
        <v>0</v>
      </c>
      <c r="D165" s="225">
        <v>0</v>
      </c>
      <c r="E165" s="225">
        <v>0</v>
      </c>
      <c r="F165" s="225">
        <v>0</v>
      </c>
      <c r="G165" s="225">
        <f>SUM(B165,D165:F165)</f>
        <v>0</v>
      </c>
    </row>
    <row r="167" spans="1:7" x14ac:dyDescent="0.25">
      <c r="A167" s="123" t="s">
        <v>44</v>
      </c>
      <c r="B167" s="123"/>
      <c r="C167" s="124"/>
      <c r="D167" s="124"/>
      <c r="E167" s="124"/>
      <c r="F167" s="124"/>
      <c r="G167" s="124"/>
    </row>
    <row r="168" spans="1:7" x14ac:dyDescent="0.25">
      <c r="A168" s="217" t="s">
        <v>88</v>
      </c>
      <c r="B168" s="217"/>
      <c r="C168" s="218"/>
      <c r="D168" s="218"/>
      <c r="E168" s="218"/>
      <c r="F168" s="218"/>
      <c r="G168" s="218"/>
    </row>
    <row r="169" spans="1:7" x14ac:dyDescent="0.25">
      <c r="A169" s="219"/>
      <c r="B169" s="67"/>
      <c r="C169" s="67"/>
      <c r="D169" s="67"/>
      <c r="E169" s="67"/>
      <c r="F169" s="67"/>
      <c r="G169" s="67"/>
    </row>
    <row r="170" spans="1:7" x14ac:dyDescent="0.25">
      <c r="A170" s="220" t="s">
        <v>51</v>
      </c>
      <c r="E170" s="221" t="s">
        <v>31</v>
      </c>
      <c r="F170" s="221" t="s">
        <v>33</v>
      </c>
    </row>
    <row r="171" spans="1:7" ht="13.8" thickBot="1" x14ac:dyDescent="0.3">
      <c r="A171" s="222" t="s">
        <v>23</v>
      </c>
      <c r="B171" s="223" t="s">
        <v>21</v>
      </c>
      <c r="C171" s="223" t="s">
        <v>25</v>
      </c>
      <c r="D171" s="223" t="s">
        <v>32</v>
      </c>
      <c r="E171" s="223" t="s">
        <v>32</v>
      </c>
      <c r="F171" s="223" t="s">
        <v>32</v>
      </c>
      <c r="G171" s="223" t="s">
        <v>34</v>
      </c>
    </row>
    <row r="172" spans="1:7" x14ac:dyDescent="0.25">
      <c r="A172" s="220"/>
      <c r="B172" s="221"/>
      <c r="C172" s="221"/>
      <c r="D172" s="221"/>
      <c r="E172" s="221"/>
      <c r="F172" s="221"/>
      <c r="G172" s="221"/>
    </row>
    <row r="173" spans="1:7" x14ac:dyDescent="0.25">
      <c r="A173" s="224">
        <v>44545</v>
      </c>
      <c r="B173" s="225">
        <v>0</v>
      </c>
      <c r="C173" s="226">
        <v>0</v>
      </c>
      <c r="D173" s="225">
        <v>0</v>
      </c>
      <c r="E173" s="225">
        <v>0</v>
      </c>
      <c r="F173" s="225">
        <v>0</v>
      </c>
      <c r="G173" s="225">
        <f>SUM(B173,D173:F173)</f>
        <v>0</v>
      </c>
    </row>
    <row r="174" spans="1:7" x14ac:dyDescent="0.25">
      <c r="A174" s="224">
        <v>44727</v>
      </c>
      <c r="B174" s="225">
        <v>0</v>
      </c>
      <c r="C174" s="226">
        <v>0</v>
      </c>
      <c r="D174" s="225">
        <v>0</v>
      </c>
      <c r="E174" s="225">
        <v>0</v>
      </c>
      <c r="F174" s="225">
        <v>0</v>
      </c>
      <c r="G174" s="225">
        <f>SUM(B174,D174:F174)</f>
        <v>0</v>
      </c>
    </row>
    <row r="176" spans="1:7" x14ac:dyDescent="0.25">
      <c r="A176" s="123" t="s">
        <v>44</v>
      </c>
      <c r="B176" s="123"/>
      <c r="C176" s="124"/>
      <c r="D176" s="124"/>
      <c r="E176" s="124"/>
      <c r="F176" s="124"/>
      <c r="G176" s="124"/>
    </row>
    <row r="177" spans="1:8" x14ac:dyDescent="0.25">
      <c r="A177" s="217" t="s">
        <v>89</v>
      </c>
      <c r="B177" s="217"/>
      <c r="C177" s="218"/>
      <c r="D177" s="218"/>
      <c r="E177" s="218"/>
      <c r="F177" s="218"/>
      <c r="G177" s="218"/>
    </row>
    <row r="178" spans="1:8" x14ac:dyDescent="0.25">
      <c r="A178" s="219"/>
      <c r="B178" s="67"/>
      <c r="C178" s="67"/>
      <c r="D178" s="67"/>
      <c r="E178" s="67"/>
      <c r="F178" s="67"/>
      <c r="G178" s="67"/>
    </row>
    <row r="179" spans="1:8" x14ac:dyDescent="0.25">
      <c r="A179" s="220" t="s">
        <v>51</v>
      </c>
      <c r="E179" s="221" t="s">
        <v>31</v>
      </c>
      <c r="F179" s="221" t="s">
        <v>33</v>
      </c>
    </row>
    <row r="180" spans="1:8" ht="13.8" thickBot="1" x14ac:dyDescent="0.3">
      <c r="A180" s="222" t="s">
        <v>23</v>
      </c>
      <c r="B180" s="223" t="s">
        <v>21</v>
      </c>
      <c r="C180" s="223" t="s">
        <v>25</v>
      </c>
      <c r="D180" s="223" t="s">
        <v>32</v>
      </c>
      <c r="E180" s="223" t="s">
        <v>32</v>
      </c>
      <c r="F180" s="223" t="s">
        <v>32</v>
      </c>
      <c r="G180" s="223" t="s">
        <v>34</v>
      </c>
    </row>
    <row r="181" spans="1:8" x14ac:dyDescent="0.25">
      <c r="A181" s="220"/>
      <c r="B181" s="221"/>
      <c r="C181" s="221"/>
      <c r="D181" s="221"/>
      <c r="E181" s="221"/>
      <c r="F181" s="221"/>
      <c r="G181" s="221"/>
    </row>
    <row r="182" spans="1:8" x14ac:dyDescent="0.25">
      <c r="A182" s="224">
        <v>44545</v>
      </c>
      <c r="B182" s="225">
        <v>0</v>
      </c>
      <c r="C182" s="226">
        <v>0</v>
      </c>
      <c r="D182" s="225">
        <v>0</v>
      </c>
      <c r="E182" s="225">
        <v>0</v>
      </c>
      <c r="F182" s="225">
        <v>0</v>
      </c>
      <c r="G182" s="225">
        <f>SUM(B182,D182:F182)</f>
        <v>0</v>
      </c>
    </row>
    <row r="183" spans="1:8" x14ac:dyDescent="0.25">
      <c r="A183" s="224">
        <v>44727</v>
      </c>
      <c r="B183" s="225">
        <v>0</v>
      </c>
      <c r="C183" s="226">
        <v>0</v>
      </c>
      <c r="D183" s="225">
        <v>0</v>
      </c>
      <c r="E183" s="225">
        <v>0</v>
      </c>
      <c r="F183" s="225">
        <v>0</v>
      </c>
      <c r="G183" s="225">
        <f>SUM(B183,D183:F183)</f>
        <v>0</v>
      </c>
    </row>
    <row r="185" spans="1:8" x14ac:dyDescent="0.25">
      <c r="A185" s="123" t="s">
        <v>75</v>
      </c>
      <c r="B185" s="123"/>
      <c r="C185" s="124"/>
      <c r="D185" s="124"/>
      <c r="E185" s="124"/>
      <c r="F185" s="124"/>
      <c r="G185" s="124"/>
    </row>
    <row r="186" spans="1:8" x14ac:dyDescent="0.25">
      <c r="A186" s="217"/>
      <c r="B186" s="217"/>
      <c r="C186" s="218"/>
      <c r="D186" s="218"/>
      <c r="E186" s="218"/>
      <c r="F186" s="218"/>
      <c r="G186" s="218"/>
    </row>
    <row r="187" spans="1:8" x14ac:dyDescent="0.25">
      <c r="A187" s="219"/>
      <c r="B187" s="67"/>
      <c r="C187" s="67"/>
      <c r="D187" s="67"/>
      <c r="E187" s="67"/>
      <c r="F187" s="67"/>
      <c r="G187" s="67"/>
    </row>
    <row r="188" spans="1:8" x14ac:dyDescent="0.25">
      <c r="A188" s="220" t="s">
        <v>51</v>
      </c>
      <c r="E188" s="221" t="s">
        <v>31</v>
      </c>
      <c r="F188" s="221" t="s">
        <v>33</v>
      </c>
    </row>
    <row r="189" spans="1:8" ht="13.8" thickBot="1" x14ac:dyDescent="0.3">
      <c r="A189" s="222" t="s">
        <v>23</v>
      </c>
      <c r="B189" s="223" t="s">
        <v>21</v>
      </c>
      <c r="C189" s="223" t="s">
        <v>25</v>
      </c>
      <c r="D189" s="223" t="s">
        <v>32</v>
      </c>
      <c r="E189" s="223" t="s">
        <v>32</v>
      </c>
      <c r="F189" s="223" t="s">
        <v>32</v>
      </c>
      <c r="G189" s="223" t="s">
        <v>34</v>
      </c>
    </row>
    <row r="190" spans="1:8" x14ac:dyDescent="0.25">
      <c r="A190" s="220"/>
      <c r="B190" s="221"/>
      <c r="C190" s="221"/>
      <c r="D190" s="221"/>
      <c r="E190" s="221"/>
      <c r="F190" s="221"/>
      <c r="G190" s="221"/>
    </row>
    <row r="191" spans="1:8" x14ac:dyDescent="0.25">
      <c r="A191" s="224">
        <v>44545</v>
      </c>
      <c r="B191" s="225">
        <f>SUM(B11,B20,B38,B47,B56,B29,B65,B74,B83,B92,B101,B110,B119,B128,B146,B155,B164,B173,B182)</f>
        <v>0</v>
      </c>
      <c r="C191" s="227" t="s">
        <v>95</v>
      </c>
      <c r="D191" s="225">
        <f t="shared" ref="D191:G192" si="0">SUM(D11,D20,D38,D47,D56,D29,D65,D74,D83,D92,D101,D110,D119,D128,D146,D155,D164,D173,D182)</f>
        <v>56529305.075000003</v>
      </c>
      <c r="E191" s="225">
        <f t="shared" si="0"/>
        <v>0</v>
      </c>
      <c r="F191" s="225">
        <f t="shared" si="0"/>
        <v>0</v>
      </c>
      <c r="G191" s="225">
        <f t="shared" si="0"/>
        <v>56529305.075000003</v>
      </c>
      <c r="H191" s="225"/>
    </row>
    <row r="192" spans="1:8" x14ac:dyDescent="0.25">
      <c r="A192" s="224">
        <v>44727</v>
      </c>
      <c r="B192" s="225">
        <f>SUM(B12,B21,B39,B48,B57,B30,B66,B75,B84,B93,B102,B111,B120,B129,B147,B156,B165,B174,B183)</f>
        <v>0</v>
      </c>
      <c r="C192" s="227" t="s">
        <v>95</v>
      </c>
      <c r="D192" s="225">
        <f t="shared" si="0"/>
        <v>63199509.515000001</v>
      </c>
      <c r="E192" s="225">
        <f t="shared" si="0"/>
        <v>0</v>
      </c>
      <c r="F192" s="225">
        <f t="shared" si="0"/>
        <v>-6670204.4400000004</v>
      </c>
      <c r="G192" s="225">
        <f t="shared" si="0"/>
        <v>56529305.075000003</v>
      </c>
    </row>
    <row r="195" spans="1:2" ht="13.8" x14ac:dyDescent="0.25">
      <c r="A195" s="234">
        <f ca="1">NOW()</f>
        <v>44691.691627893517</v>
      </c>
      <c r="B195" s="234"/>
    </row>
  </sheetData>
  <mergeCells count="1">
    <mergeCell ref="A195:B195"/>
  </mergeCells>
  <pageMargins left="0.7" right="0.7" top="0.75" bottom="0.75" header="0.3" footer="0.3"/>
  <pageSetup fitToHeight="6" orientation="portrait" r:id="rId1"/>
  <rowBreaks count="3" manualBreakCount="3">
    <brk id="48" max="16383" man="1"/>
    <brk id="93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72F5-E200-45E0-8775-8661A4E9262B}">
  <sheetPr>
    <pageSetUpPr fitToPage="1"/>
  </sheetPr>
  <dimension ref="A1:S73"/>
  <sheetViews>
    <sheetView tabSelected="1" zoomScaleNormal="100" workbookViewId="0">
      <selection activeCell="K13" sqref="K13"/>
    </sheetView>
  </sheetViews>
  <sheetFormatPr defaultColWidth="9.28515625" defaultRowHeight="14.4" x14ac:dyDescent="0.3"/>
  <cols>
    <col min="1" max="1" width="58.28515625" style="157" customWidth="1"/>
    <col min="2" max="2" width="19.140625" style="157" bestFit="1" customWidth="1"/>
    <col min="3" max="3" width="17" style="157" customWidth="1"/>
    <col min="4" max="4" width="1" style="157" customWidth="1"/>
    <col min="5" max="5" width="10.28515625" style="158" customWidth="1"/>
    <col min="6" max="6" width="1" style="157" customWidth="1"/>
    <col min="7" max="7" width="13" style="158" customWidth="1"/>
    <col min="8" max="8" width="1" style="157" customWidth="1"/>
    <col min="9" max="9" width="15.7109375" style="157" customWidth="1"/>
    <col min="10" max="10" width="1" style="157" customWidth="1"/>
    <col min="11" max="11" width="15.7109375" style="157" customWidth="1"/>
    <col min="12" max="12" width="10.28515625" style="157" customWidth="1"/>
    <col min="13" max="13" width="4.28515625" style="157" customWidth="1"/>
    <col min="14" max="14" width="17.7109375" style="157" customWidth="1"/>
    <col min="15" max="15" width="16" style="157" customWidth="1"/>
    <col min="16" max="16" width="15.28515625" style="157" customWidth="1"/>
    <col min="17" max="17" width="9.28515625" style="157"/>
    <col min="18" max="18" width="21" style="179" customWidth="1"/>
    <col min="19" max="19" width="18" style="157" bestFit="1" customWidth="1"/>
    <col min="20" max="16384" width="9.28515625" style="157"/>
  </cols>
  <sheetData>
    <row r="1" spans="1:16" ht="28.8" x14ac:dyDescent="0.55000000000000004">
      <c r="A1" s="230" t="s">
        <v>114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6" ht="25.8" x14ac:dyDescent="0.5">
      <c r="A2" s="231" t="s">
        <v>98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6" ht="18" x14ac:dyDescent="0.35">
      <c r="I3" s="159"/>
      <c r="J3" s="159"/>
      <c r="K3" s="160"/>
    </row>
    <row r="4" spans="1:16" ht="18" x14ac:dyDescent="0.35">
      <c r="A4" s="161" t="s">
        <v>0</v>
      </c>
      <c r="B4" s="162">
        <v>811248846.64999998</v>
      </c>
      <c r="C4" s="162">
        <f>SUM(B4:B4)</f>
        <v>811248846.64999998</v>
      </c>
      <c r="I4" s="159"/>
      <c r="J4" s="159"/>
      <c r="K4" s="163"/>
    </row>
    <row r="5" spans="1:16" x14ac:dyDescent="0.3">
      <c r="C5" s="164"/>
    </row>
    <row r="6" spans="1:16" x14ac:dyDescent="0.3">
      <c r="C6" s="165"/>
      <c r="I6" s="232" t="s">
        <v>1</v>
      </c>
      <c r="J6" s="232"/>
      <c r="K6" s="232"/>
    </row>
    <row r="7" spans="1:16" x14ac:dyDescent="0.3">
      <c r="A7" s="166"/>
      <c r="B7" s="167"/>
      <c r="C7" s="167" t="s">
        <v>99</v>
      </c>
      <c r="I7" s="167" t="s">
        <v>2</v>
      </c>
      <c r="K7" s="167" t="s">
        <v>4</v>
      </c>
    </row>
    <row r="8" spans="1:16" x14ac:dyDescent="0.3">
      <c r="B8" s="168" t="s">
        <v>115</v>
      </c>
      <c r="C8" s="168" t="s">
        <v>100</v>
      </c>
      <c r="I8" s="168" t="s">
        <v>3</v>
      </c>
      <c r="K8" s="168" t="s">
        <v>3</v>
      </c>
    </row>
    <row r="9" spans="1:16" x14ac:dyDescent="0.3">
      <c r="A9" s="169" t="s">
        <v>7</v>
      </c>
      <c r="B9" s="164">
        <f t="shared" ref="B9:B15" si="0">((B$4/1000*O$17)-13.1)*E9</f>
        <v>1277712.8069737498</v>
      </c>
      <c r="C9" s="164">
        <f t="shared" ref="C9:C15" si="1">SUM(B9:B9)</f>
        <v>1277712.8069737498</v>
      </c>
      <c r="D9" s="170"/>
      <c r="E9" s="171">
        <v>0.315</v>
      </c>
      <c r="F9" s="170"/>
      <c r="I9" s="164">
        <f t="shared" ref="I9:I15" si="2">IF(G9&lt;&gt;"",C9,0)</f>
        <v>0</v>
      </c>
      <c r="J9" s="172"/>
      <c r="K9" s="164">
        <f t="shared" ref="K9:K15" si="3">+C9</f>
        <v>1277712.8069737498</v>
      </c>
      <c r="N9" s="173">
        <v>1395984.2</v>
      </c>
      <c r="O9" s="164">
        <f>C9-N9</f>
        <v>-118271.39302625018</v>
      </c>
    </row>
    <row r="10" spans="1:16" x14ac:dyDescent="0.3">
      <c r="A10" s="169" t="s">
        <v>116</v>
      </c>
      <c r="B10" s="170">
        <f t="shared" si="0"/>
        <v>983636.04981312482</v>
      </c>
      <c r="C10" s="170">
        <f t="shared" si="1"/>
        <v>983636.04981312482</v>
      </c>
      <c r="D10" s="170"/>
      <c r="E10" s="171">
        <v>0.24249999999999999</v>
      </c>
      <c r="F10" s="170"/>
      <c r="I10" s="170">
        <f t="shared" si="2"/>
        <v>0</v>
      </c>
      <c r="J10" s="172"/>
      <c r="K10" s="170">
        <f t="shared" si="3"/>
        <v>983636.04981312482</v>
      </c>
      <c r="N10" s="173">
        <v>998463.36</v>
      </c>
      <c r="O10" s="164">
        <f t="shared" ref="O10:O15" si="4">C10-N10</f>
        <v>-14827.310186875169</v>
      </c>
    </row>
    <row r="11" spans="1:16" x14ac:dyDescent="0.3">
      <c r="A11" s="169" t="s">
        <v>117</v>
      </c>
      <c r="B11" s="170">
        <f t="shared" si="0"/>
        <v>486747.7359899999</v>
      </c>
      <c r="C11" s="170">
        <f t="shared" si="1"/>
        <v>486747.7359899999</v>
      </c>
      <c r="D11" s="170"/>
      <c r="E11" s="171">
        <v>0.12</v>
      </c>
      <c r="F11" s="170"/>
      <c r="I11" s="170">
        <f>IF(G11&lt;&gt;"",C11,0)</f>
        <v>0</v>
      </c>
      <c r="J11" s="172"/>
      <c r="K11" s="170">
        <f t="shared" si="3"/>
        <v>486747.7359899999</v>
      </c>
      <c r="N11" s="173">
        <v>572036.30000000005</v>
      </c>
      <c r="O11" s="164">
        <f t="shared" si="4"/>
        <v>-85288.564010000147</v>
      </c>
    </row>
    <row r="12" spans="1:16" x14ac:dyDescent="0.3">
      <c r="A12" s="169" t="s">
        <v>118</v>
      </c>
      <c r="B12" s="170">
        <f t="shared" si="0"/>
        <v>486747.7359899999</v>
      </c>
      <c r="C12" s="170">
        <f t="shared" si="1"/>
        <v>486747.7359899999</v>
      </c>
      <c r="D12" s="170"/>
      <c r="E12" s="171">
        <v>0.12</v>
      </c>
      <c r="F12" s="170"/>
      <c r="G12" s="158" t="s">
        <v>6</v>
      </c>
      <c r="I12" s="170">
        <f t="shared" si="2"/>
        <v>486747.7359899999</v>
      </c>
      <c r="J12" s="172"/>
      <c r="K12" s="170">
        <f t="shared" si="3"/>
        <v>486747.7359899999</v>
      </c>
      <c r="N12" s="173">
        <v>499231.68</v>
      </c>
      <c r="O12" s="164">
        <f t="shared" si="4"/>
        <v>-12483.944010000094</v>
      </c>
    </row>
    <row r="13" spans="1:16" x14ac:dyDescent="0.3">
      <c r="A13" s="169" t="s">
        <v>119</v>
      </c>
      <c r="B13" s="170">
        <f t="shared" si="0"/>
        <v>405623.11332499998</v>
      </c>
      <c r="C13" s="170">
        <f t="shared" si="1"/>
        <v>405623.11332499998</v>
      </c>
      <c r="D13" s="170"/>
      <c r="E13" s="171">
        <v>0.1</v>
      </c>
      <c r="F13" s="170"/>
      <c r="G13" s="158" t="s">
        <v>6</v>
      </c>
      <c r="I13" s="170">
        <f t="shared" si="2"/>
        <v>405623.11332499998</v>
      </c>
      <c r="J13" s="172"/>
      <c r="K13" s="170">
        <f t="shared" si="3"/>
        <v>405623.11332499998</v>
      </c>
      <c r="N13" s="173">
        <v>416026.4</v>
      </c>
      <c r="O13" s="164">
        <f t="shared" si="4"/>
        <v>-10403.286675000039</v>
      </c>
    </row>
    <row r="14" spans="1:16" x14ac:dyDescent="0.3">
      <c r="A14" s="169" t="s">
        <v>120</v>
      </c>
      <c r="B14" s="170">
        <f t="shared" si="0"/>
        <v>263655.02366124996</v>
      </c>
      <c r="C14" s="170">
        <f t="shared" si="1"/>
        <v>263655.02366124996</v>
      </c>
      <c r="D14" s="170"/>
      <c r="E14" s="174">
        <v>6.5000000000000002E-2</v>
      </c>
      <c r="F14" s="170"/>
      <c r="G14" s="158" t="s">
        <v>2</v>
      </c>
      <c r="I14" s="170">
        <f t="shared" si="2"/>
        <v>263655.02366124996</v>
      </c>
      <c r="J14" s="172"/>
      <c r="K14" s="170">
        <f t="shared" si="3"/>
        <v>263655.02366124996</v>
      </c>
      <c r="N14" s="173">
        <v>270417.16000000003</v>
      </c>
      <c r="O14" s="164">
        <f t="shared" si="4"/>
        <v>-6762.1363387500751</v>
      </c>
    </row>
    <row r="15" spans="1:16" x14ac:dyDescent="0.3">
      <c r="A15" s="169" t="s">
        <v>121</v>
      </c>
      <c r="B15" s="175">
        <f t="shared" si="0"/>
        <v>152108.66749687499</v>
      </c>
      <c r="C15" s="175">
        <f t="shared" si="1"/>
        <v>152108.66749687499</v>
      </c>
      <c r="D15" s="170"/>
      <c r="E15" s="174">
        <v>3.7499999999999999E-2</v>
      </c>
      <c r="F15" s="170"/>
      <c r="G15" s="158" t="s">
        <v>5</v>
      </c>
      <c r="I15" s="175">
        <f t="shared" si="2"/>
        <v>152108.66749687499</v>
      </c>
      <c r="J15" s="170"/>
      <c r="K15" s="175">
        <f t="shared" si="3"/>
        <v>152108.66749687499</v>
      </c>
      <c r="N15" s="173">
        <v>156009.9</v>
      </c>
      <c r="O15" s="164">
        <f t="shared" si="4"/>
        <v>-3901.2325031250075</v>
      </c>
    </row>
    <row r="16" spans="1:16" ht="8.25" customHeight="1" x14ac:dyDescent="0.3">
      <c r="P16" s="176"/>
    </row>
    <row r="17" spans="1:19" x14ac:dyDescent="0.3">
      <c r="A17" s="157" t="s">
        <v>8</v>
      </c>
      <c r="B17" s="164">
        <f>SUM(B9:B16)</f>
        <v>4056231.133249999</v>
      </c>
      <c r="C17" s="164">
        <f>SUM(C9:C16)</f>
        <v>4056231.133249999</v>
      </c>
      <c r="D17" s="170"/>
      <c r="E17" s="171">
        <f>SUM(E9:E16)</f>
        <v>0.99999999999999989</v>
      </c>
      <c r="F17" s="170"/>
      <c r="I17" s="164">
        <f>SUM(I9:I15)</f>
        <v>1308134.5404731247</v>
      </c>
      <c r="J17" s="164"/>
      <c r="K17" s="164">
        <f>SUM(K9:K15)</f>
        <v>4056231.133249999</v>
      </c>
      <c r="L17" s="177">
        <f>+I17/K17</f>
        <v>0.32250000000000001</v>
      </c>
      <c r="N17" s="176">
        <f>B4-N18</f>
        <v>767118846.64999998</v>
      </c>
      <c r="O17" s="178">
        <v>5</v>
      </c>
      <c r="P17" s="176">
        <f>N17*O17/1000</f>
        <v>3835594.23325</v>
      </c>
    </row>
    <row r="18" spans="1:19" x14ac:dyDescent="0.3">
      <c r="N18" s="176">
        <f>23300000+20830000</f>
        <v>44130000</v>
      </c>
      <c r="O18" s="178">
        <v>5</v>
      </c>
      <c r="P18" s="176">
        <f>N18*O18/1000</f>
        <v>220650</v>
      </c>
    </row>
    <row r="19" spans="1:19" x14ac:dyDescent="0.3">
      <c r="A19" s="157" t="s">
        <v>112</v>
      </c>
      <c r="B19" s="180">
        <v>75000</v>
      </c>
      <c r="C19" s="181">
        <f t="shared" ref="C19:C25" si="5">SUM(B19:B19)</f>
        <v>75000</v>
      </c>
      <c r="E19" s="182"/>
      <c r="I19" s="170">
        <v>0</v>
      </c>
      <c r="J19" s="172"/>
      <c r="K19" s="170">
        <v>0</v>
      </c>
    </row>
    <row r="20" spans="1:19" x14ac:dyDescent="0.3">
      <c r="A20" s="157" t="s">
        <v>9</v>
      </c>
      <c r="B20" s="180">
        <v>800</v>
      </c>
      <c r="C20" s="181">
        <f t="shared" si="5"/>
        <v>800</v>
      </c>
      <c r="I20" s="170">
        <f t="shared" ref="I20:I25" si="6">IF(G20&lt;&gt;"",C20,0)</f>
        <v>0</v>
      </c>
      <c r="J20" s="172"/>
      <c r="K20" s="170">
        <v>0</v>
      </c>
      <c r="N20" s="164"/>
      <c r="O20" s="183"/>
    </row>
    <row r="21" spans="1:19" x14ac:dyDescent="0.3">
      <c r="A21" s="157" t="s">
        <v>10</v>
      </c>
      <c r="B21" s="180">
        <v>980</v>
      </c>
      <c r="C21" s="181">
        <f t="shared" si="5"/>
        <v>980</v>
      </c>
      <c r="G21" s="157"/>
      <c r="I21" s="170">
        <f t="shared" si="6"/>
        <v>0</v>
      </c>
      <c r="J21" s="172"/>
      <c r="K21" s="170">
        <v>0</v>
      </c>
      <c r="N21" s="170"/>
      <c r="O21" s="183"/>
    </row>
    <row r="22" spans="1:19" x14ac:dyDescent="0.3">
      <c r="A22" s="157" t="s">
        <v>122</v>
      </c>
      <c r="B22" s="180">
        <v>2000</v>
      </c>
      <c r="C22" s="181">
        <f t="shared" si="5"/>
        <v>2000</v>
      </c>
      <c r="G22" s="157"/>
      <c r="I22" s="170">
        <f t="shared" si="6"/>
        <v>0</v>
      </c>
      <c r="J22" s="172"/>
      <c r="K22" s="170">
        <v>0</v>
      </c>
      <c r="N22" s="170"/>
      <c r="O22" s="184"/>
    </row>
    <row r="23" spans="1:19" x14ac:dyDescent="0.3">
      <c r="A23" s="157" t="s">
        <v>123</v>
      </c>
      <c r="B23" s="180">
        <f>50135.18+12168.73+12168.73+285+6634.74</f>
        <v>81392.38</v>
      </c>
      <c r="C23" s="181">
        <f t="shared" si="5"/>
        <v>81392.38</v>
      </c>
      <c r="G23" s="157"/>
      <c r="I23" s="170">
        <f t="shared" si="6"/>
        <v>0</v>
      </c>
      <c r="J23" s="172"/>
      <c r="K23" s="170">
        <v>0</v>
      </c>
      <c r="N23" s="170"/>
      <c r="O23" s="184"/>
    </row>
    <row r="24" spans="1:19" x14ac:dyDescent="0.3">
      <c r="A24" s="157" t="s">
        <v>124</v>
      </c>
      <c r="B24" s="180">
        <v>1633.13</v>
      </c>
      <c r="C24" s="181">
        <f t="shared" si="5"/>
        <v>1633.13</v>
      </c>
      <c r="G24" s="157"/>
      <c r="I24" s="170">
        <f t="shared" si="6"/>
        <v>0</v>
      </c>
      <c r="J24" s="172"/>
      <c r="K24" s="170">
        <v>0</v>
      </c>
      <c r="N24" s="170"/>
      <c r="O24" s="184"/>
    </row>
    <row r="25" spans="1:19" x14ac:dyDescent="0.3">
      <c r="A25" s="157" t="s">
        <v>125</v>
      </c>
      <c r="B25" s="185">
        <v>11300</v>
      </c>
      <c r="C25" s="186">
        <f t="shared" si="5"/>
        <v>11300</v>
      </c>
      <c r="G25" s="157"/>
      <c r="I25" s="175">
        <f t="shared" si="6"/>
        <v>0</v>
      </c>
      <c r="J25" s="172"/>
      <c r="K25" s="175">
        <v>0</v>
      </c>
      <c r="N25" s="164"/>
      <c r="O25" s="164"/>
    </row>
    <row r="26" spans="1:19" ht="9.75" customHeight="1" x14ac:dyDescent="0.3">
      <c r="B26" s="180"/>
      <c r="C26" s="180"/>
      <c r="G26" s="157"/>
    </row>
    <row r="27" spans="1:19" x14ac:dyDescent="0.3">
      <c r="A27" s="157" t="s">
        <v>11</v>
      </c>
      <c r="B27" s="164">
        <f>SUM(B17:B25)</f>
        <v>4229336.6432499988</v>
      </c>
      <c r="C27" s="164">
        <f>SUM(C17:C25)</f>
        <v>4229336.6432499988</v>
      </c>
      <c r="I27" s="164">
        <f>SUM(I17:I25)</f>
        <v>1308134.5404731247</v>
      </c>
      <c r="K27" s="164">
        <f>SUM(K17:K25)</f>
        <v>4056231.133249999</v>
      </c>
      <c r="L27" s="177">
        <f>+I27/K27</f>
        <v>0.32250000000000001</v>
      </c>
    </row>
    <row r="29" spans="1:19" x14ac:dyDescent="0.3">
      <c r="A29" s="157" t="s">
        <v>12</v>
      </c>
      <c r="B29" s="187">
        <f>+(50000*0.8)+(150000*0.4)+(300000*0.25)+((B4/1000-500000)*0.15)-0.33</f>
        <v>221686.99699750001</v>
      </c>
      <c r="C29" s="164">
        <f t="shared" ref="C29:C42" si="7">SUM(B29:B29)</f>
        <v>221686.99699750001</v>
      </c>
      <c r="D29" s="188"/>
      <c r="E29" s="189"/>
      <c r="F29" s="188"/>
      <c r="I29" s="164">
        <v>0</v>
      </c>
      <c r="J29" s="172"/>
      <c r="K29" s="164">
        <f t="shared" ref="K29:K37" si="8">+C29</f>
        <v>221686.99699750001</v>
      </c>
      <c r="O29" s="164"/>
    </row>
    <row r="30" spans="1:19" x14ac:dyDescent="0.3">
      <c r="A30" s="157" t="s">
        <v>13</v>
      </c>
      <c r="B30" s="180">
        <v>92500</v>
      </c>
      <c r="C30" s="170">
        <f t="shared" si="7"/>
        <v>92500</v>
      </c>
      <c r="D30" s="188"/>
      <c r="E30" s="190"/>
      <c r="F30" s="188"/>
      <c r="G30" s="158" t="s">
        <v>5</v>
      </c>
      <c r="I30" s="170">
        <f>IF(G30&lt;&gt;"",C30,0)</f>
        <v>92500</v>
      </c>
      <c r="J30" s="172"/>
      <c r="K30" s="170">
        <f t="shared" si="8"/>
        <v>92500</v>
      </c>
      <c r="R30" s="191"/>
    </row>
    <row r="31" spans="1:19" x14ac:dyDescent="0.3">
      <c r="A31" s="157" t="s">
        <v>14</v>
      </c>
      <c r="B31" s="180">
        <v>180000</v>
      </c>
      <c r="C31" s="170">
        <f t="shared" si="7"/>
        <v>180000</v>
      </c>
      <c r="E31" s="192"/>
      <c r="G31" s="158" t="s">
        <v>6</v>
      </c>
      <c r="I31" s="170">
        <f>IF(G31&lt;&gt;"",C31,0)</f>
        <v>180000</v>
      </c>
      <c r="J31" s="172"/>
      <c r="K31" s="170">
        <f t="shared" si="8"/>
        <v>180000</v>
      </c>
      <c r="O31" s="164"/>
      <c r="S31" s="193"/>
    </row>
    <row r="32" spans="1:19" x14ac:dyDescent="0.3">
      <c r="A32" s="157" t="s">
        <v>15</v>
      </c>
      <c r="B32" s="180">
        <v>175000</v>
      </c>
      <c r="C32" s="170">
        <f t="shared" si="7"/>
        <v>175000</v>
      </c>
      <c r="D32" s="188"/>
      <c r="E32" s="190"/>
      <c r="F32" s="188"/>
      <c r="I32" s="170">
        <f>IF(G32&lt;&gt;"",C32,0)</f>
        <v>0</v>
      </c>
      <c r="J32" s="172"/>
      <c r="K32" s="170">
        <f t="shared" si="8"/>
        <v>175000</v>
      </c>
      <c r="S32" s="193"/>
    </row>
    <row r="33" spans="1:19" s="179" customFormat="1" hidden="1" x14ac:dyDescent="0.3">
      <c r="A33" s="157" t="s">
        <v>16</v>
      </c>
      <c r="B33" s="180"/>
      <c r="C33" s="170">
        <f t="shared" si="7"/>
        <v>0</v>
      </c>
      <c r="D33" s="188"/>
      <c r="E33" s="190"/>
      <c r="F33" s="188"/>
      <c r="G33" s="158"/>
      <c r="H33" s="157"/>
      <c r="I33" s="170">
        <f>IF(G33&lt;&gt;"",C33,0)</f>
        <v>0</v>
      </c>
      <c r="J33" s="172"/>
      <c r="K33" s="170">
        <f t="shared" si="8"/>
        <v>0</v>
      </c>
      <c r="L33" s="157"/>
      <c r="M33" s="157"/>
      <c r="N33" s="157"/>
      <c r="O33" s="157"/>
      <c r="P33" s="157"/>
      <c r="Q33" s="157"/>
    </row>
    <row r="34" spans="1:19" s="179" customFormat="1" x14ac:dyDescent="0.3">
      <c r="A34" s="157" t="s">
        <v>17</v>
      </c>
      <c r="B34" s="194">
        <v>24447.919999999998</v>
      </c>
      <c r="C34" s="170">
        <f t="shared" si="7"/>
        <v>24447.919999999998</v>
      </c>
      <c r="D34" s="188"/>
      <c r="E34" s="190"/>
      <c r="F34" s="188"/>
      <c r="G34" s="158"/>
      <c r="H34" s="157"/>
      <c r="I34" s="170">
        <f>IF(G34&lt;&gt;"",C34,0)</f>
        <v>0</v>
      </c>
      <c r="J34" s="172"/>
      <c r="K34" s="170">
        <f t="shared" si="8"/>
        <v>24447.919999999998</v>
      </c>
      <c r="L34" s="157"/>
      <c r="M34" s="157"/>
      <c r="N34" s="157"/>
      <c r="O34" s="157"/>
      <c r="P34" s="157"/>
      <c r="Q34" s="157"/>
    </row>
    <row r="35" spans="1:19" s="179" customFormat="1" x14ac:dyDescent="0.3">
      <c r="A35" s="157" t="s">
        <v>113</v>
      </c>
      <c r="B35" s="180">
        <v>500</v>
      </c>
      <c r="C35" s="170">
        <f t="shared" si="7"/>
        <v>500</v>
      </c>
      <c r="D35" s="188"/>
      <c r="E35" s="190"/>
      <c r="F35" s="188"/>
      <c r="G35" s="158"/>
      <c r="H35" s="157"/>
      <c r="I35" s="170">
        <v>0</v>
      </c>
      <c r="J35" s="172"/>
      <c r="K35" s="170">
        <f t="shared" si="8"/>
        <v>500</v>
      </c>
      <c r="L35" s="157"/>
      <c r="M35" s="157"/>
      <c r="N35" s="157"/>
      <c r="O35" s="157"/>
      <c r="P35" s="157"/>
      <c r="Q35" s="157"/>
    </row>
    <row r="36" spans="1:19" s="179" customFormat="1" x14ac:dyDescent="0.3">
      <c r="A36" s="157" t="s">
        <v>126</v>
      </c>
      <c r="B36" s="194">
        <f>3150.84+250</f>
        <v>3400.84</v>
      </c>
      <c r="C36" s="170">
        <f t="shared" si="7"/>
        <v>3400.84</v>
      </c>
      <c r="D36" s="188"/>
      <c r="E36" s="190"/>
      <c r="F36" s="188"/>
      <c r="G36" s="158"/>
      <c r="H36" s="157"/>
      <c r="I36" s="170">
        <v>0</v>
      </c>
      <c r="J36" s="172"/>
      <c r="K36" s="170">
        <f t="shared" si="8"/>
        <v>3400.84</v>
      </c>
      <c r="L36" s="157"/>
      <c r="M36" s="157"/>
      <c r="N36" s="157"/>
      <c r="O36" s="157"/>
      <c r="P36" s="157"/>
      <c r="Q36" s="157"/>
    </row>
    <row r="37" spans="1:19" s="179" customFormat="1" x14ac:dyDescent="0.3">
      <c r="A37" s="157" t="s">
        <v>105</v>
      </c>
      <c r="B37" s="180">
        <v>1500</v>
      </c>
      <c r="C37" s="170">
        <f t="shared" si="7"/>
        <v>1500</v>
      </c>
      <c r="D37" s="188"/>
      <c r="E37" s="190"/>
      <c r="F37" s="188"/>
      <c r="G37" s="158"/>
      <c r="H37" s="157"/>
      <c r="I37" s="170">
        <f>IF(G37&lt;&gt;"",C37,0)</f>
        <v>0</v>
      </c>
      <c r="J37" s="172"/>
      <c r="K37" s="170">
        <f t="shared" si="8"/>
        <v>1500</v>
      </c>
      <c r="L37" s="157"/>
      <c r="M37" s="157"/>
      <c r="N37" s="157"/>
      <c r="O37" s="157"/>
      <c r="P37" s="157"/>
      <c r="Q37" s="157"/>
    </row>
    <row r="38" spans="1:19" s="179" customFormat="1" x14ac:dyDescent="0.3">
      <c r="A38" s="157" t="s">
        <v>127</v>
      </c>
      <c r="B38" s="194">
        <f>19000+6000</f>
        <v>25000</v>
      </c>
      <c r="C38" s="181">
        <f t="shared" si="7"/>
        <v>25000</v>
      </c>
      <c r="D38" s="188"/>
      <c r="E38" s="190"/>
      <c r="F38" s="188"/>
      <c r="G38" s="158"/>
      <c r="H38" s="157"/>
      <c r="I38" s="170">
        <f>IF(G38&lt;&gt;"",C38,0)</f>
        <v>0</v>
      </c>
      <c r="J38" s="172"/>
      <c r="K38" s="170">
        <v>0</v>
      </c>
      <c r="L38" s="157"/>
      <c r="M38" s="157"/>
      <c r="N38" s="157"/>
      <c r="O38" s="157"/>
      <c r="P38" s="157"/>
      <c r="Q38" s="157"/>
    </row>
    <row r="39" spans="1:19" s="179" customFormat="1" x14ac:dyDescent="0.3">
      <c r="A39" s="157" t="s">
        <v>128</v>
      </c>
      <c r="B39" s="180">
        <v>155325</v>
      </c>
      <c r="C39" s="181">
        <f t="shared" si="7"/>
        <v>155325</v>
      </c>
      <c r="D39" s="188"/>
      <c r="E39" s="190"/>
      <c r="F39" s="188"/>
      <c r="G39" s="158"/>
      <c r="H39" s="157"/>
      <c r="I39" s="170">
        <v>0</v>
      </c>
      <c r="J39" s="172"/>
      <c r="K39" s="170">
        <v>0</v>
      </c>
      <c r="L39" s="157"/>
      <c r="M39" s="157"/>
      <c r="N39" s="157"/>
      <c r="O39" s="157"/>
      <c r="P39" s="157"/>
      <c r="Q39" s="157"/>
    </row>
    <row r="40" spans="1:19" s="179" customFormat="1" x14ac:dyDescent="0.3">
      <c r="A40" s="157" t="s">
        <v>129</v>
      </c>
      <c r="B40" s="180">
        <v>135000</v>
      </c>
      <c r="C40" s="181">
        <f t="shared" si="7"/>
        <v>135000</v>
      </c>
      <c r="D40" s="188"/>
      <c r="E40" s="190"/>
      <c r="F40" s="188"/>
      <c r="G40" s="158"/>
      <c r="H40" s="157"/>
      <c r="I40" s="170">
        <v>0</v>
      </c>
      <c r="J40" s="172"/>
      <c r="K40" s="170">
        <v>0</v>
      </c>
      <c r="L40" s="157"/>
      <c r="M40" s="157"/>
      <c r="N40" s="157"/>
      <c r="O40" s="157"/>
      <c r="P40" s="157"/>
      <c r="Q40" s="157"/>
    </row>
    <row r="41" spans="1:19" s="179" customFormat="1" x14ac:dyDescent="0.3">
      <c r="A41" s="157" t="s">
        <v>130</v>
      </c>
      <c r="B41" s="180">
        <v>75000</v>
      </c>
      <c r="C41" s="181">
        <f t="shared" si="7"/>
        <v>75000</v>
      </c>
      <c r="D41" s="188"/>
      <c r="E41" s="190"/>
      <c r="F41" s="188"/>
      <c r="G41" s="158"/>
      <c r="H41" s="157"/>
      <c r="I41" s="170">
        <v>0</v>
      </c>
      <c r="J41" s="172"/>
      <c r="K41" s="170">
        <v>0</v>
      </c>
      <c r="L41" s="157"/>
      <c r="M41" s="157"/>
      <c r="N41" s="157"/>
      <c r="O41" s="157"/>
      <c r="P41" s="157"/>
      <c r="Q41" s="157"/>
    </row>
    <row r="42" spans="1:19" s="179" customFormat="1" x14ac:dyDescent="0.3">
      <c r="A42" s="157" t="s">
        <v>18</v>
      </c>
      <c r="B42" s="195">
        <f>31202.89-6000-250</f>
        <v>24952.89</v>
      </c>
      <c r="C42" s="186">
        <f t="shared" si="7"/>
        <v>24952.89</v>
      </c>
      <c r="D42" s="188"/>
      <c r="E42" s="190"/>
      <c r="F42" s="188"/>
      <c r="G42" s="158"/>
      <c r="H42" s="157"/>
      <c r="I42" s="175">
        <v>0</v>
      </c>
      <c r="J42" s="172"/>
      <c r="K42" s="175">
        <v>0</v>
      </c>
      <c r="L42" s="157"/>
      <c r="M42" s="157"/>
      <c r="N42" s="157"/>
      <c r="O42" s="157"/>
      <c r="P42" s="157"/>
      <c r="Q42" s="157"/>
    </row>
    <row r="43" spans="1:19" s="179" customFormat="1" x14ac:dyDescent="0.3">
      <c r="A43" s="157"/>
      <c r="B43" s="157"/>
      <c r="C43" s="157"/>
      <c r="D43" s="157"/>
      <c r="E43" s="158"/>
      <c r="F43" s="157"/>
      <c r="G43" s="158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9" s="179" customFormat="1" ht="15" thickBot="1" x14ac:dyDescent="0.35">
      <c r="A44" s="157" t="s">
        <v>19</v>
      </c>
      <c r="B44" s="196">
        <f>SUM(B27:B42)</f>
        <v>5343650.2902474981</v>
      </c>
      <c r="C44" s="196">
        <f>SUM(C27:C42)</f>
        <v>5343650.2902474981</v>
      </c>
      <c r="D44" s="157"/>
      <c r="E44" s="158"/>
      <c r="F44" s="157"/>
      <c r="G44" s="158"/>
      <c r="H44" s="157"/>
      <c r="I44" s="196">
        <f>SUM(I27:I42)</f>
        <v>1580634.5404731247</v>
      </c>
      <c r="J44" s="164"/>
      <c r="K44" s="196">
        <f>SUM(K27:K42)</f>
        <v>4755266.8902474986</v>
      </c>
      <c r="L44" s="197">
        <f>+I44/K44</f>
        <v>0.33239659875133887</v>
      </c>
      <c r="M44" s="157"/>
      <c r="N44" s="157"/>
      <c r="O44" s="157"/>
      <c r="P44" s="157"/>
      <c r="Q44" s="157"/>
    </row>
    <row r="45" spans="1:19" s="179" customFormat="1" ht="15" thickTop="1" x14ac:dyDescent="0.3">
      <c r="A45" s="157"/>
      <c r="B45" s="157"/>
      <c r="C45" s="157"/>
      <c r="D45" s="157"/>
      <c r="E45" s="158"/>
      <c r="F45" s="157"/>
      <c r="G45" s="158"/>
      <c r="H45" s="157"/>
      <c r="I45" s="157"/>
      <c r="J45" s="157"/>
      <c r="K45" s="157"/>
      <c r="L45" s="157"/>
      <c r="M45" s="157"/>
      <c r="N45" s="157"/>
      <c r="O45" s="161"/>
      <c r="P45" s="157"/>
      <c r="Q45" s="157"/>
    </row>
    <row r="46" spans="1:19" s="179" customFormat="1" x14ac:dyDescent="0.3">
      <c r="A46" s="157" t="s">
        <v>20</v>
      </c>
      <c r="B46" s="164"/>
      <c r="C46" s="164">
        <f>SUM(C29:C42)</f>
        <v>1114313.6469975</v>
      </c>
      <c r="D46" s="157"/>
      <c r="E46" s="158"/>
      <c r="F46" s="157"/>
      <c r="G46" s="158"/>
      <c r="H46" s="157"/>
      <c r="I46" s="182" t="s">
        <v>6</v>
      </c>
      <c r="J46" s="164"/>
      <c r="K46" s="164">
        <f>I12+I13+I14+I31</f>
        <v>1336025.8729762498</v>
      </c>
      <c r="L46" s="184">
        <f>K46/K44</f>
        <v>0.28095707429509037</v>
      </c>
      <c r="M46" s="157"/>
      <c r="N46" s="157"/>
      <c r="O46" s="158"/>
      <c r="P46" s="164"/>
      <c r="Q46" s="198"/>
    </row>
    <row r="47" spans="1:19" s="179" customFormat="1" x14ac:dyDescent="0.3">
      <c r="A47" s="157"/>
      <c r="C47" s="170"/>
      <c r="D47" s="157"/>
      <c r="E47" s="158"/>
      <c r="F47" s="157"/>
      <c r="G47" s="158"/>
      <c r="H47" s="157"/>
      <c r="I47" s="201" t="s">
        <v>5</v>
      </c>
      <c r="J47" s="157"/>
      <c r="K47" s="164">
        <f>I15+I30</f>
        <v>244608.66749687499</v>
      </c>
      <c r="L47" s="184">
        <f>K47/K44</f>
        <v>5.1439524456248505E-2</v>
      </c>
      <c r="M47" s="157"/>
      <c r="N47" s="157"/>
      <c r="O47" s="158"/>
      <c r="P47" s="200"/>
      <c r="Q47" s="198"/>
    </row>
    <row r="48" spans="1:19" s="179" customFormat="1" x14ac:dyDescent="0.3">
      <c r="A48" s="157"/>
      <c r="C48" s="157"/>
      <c r="D48" s="157"/>
      <c r="E48" s="158"/>
      <c r="F48" s="157"/>
      <c r="G48" s="158"/>
      <c r="H48" s="157"/>
      <c r="I48" s="164"/>
      <c r="J48" s="164"/>
      <c r="K48" s="164"/>
      <c r="L48" s="157"/>
      <c r="M48" s="157"/>
      <c r="N48" s="157"/>
      <c r="O48" s="157"/>
      <c r="P48" s="164"/>
      <c r="Q48" s="157"/>
      <c r="S48" s="157"/>
    </row>
    <row r="49" spans="1:19" s="179" customFormat="1" x14ac:dyDescent="0.3">
      <c r="A49" s="157"/>
      <c r="C49" s="157"/>
      <c r="D49" s="157"/>
      <c r="E49" s="158"/>
      <c r="F49" s="157"/>
      <c r="G49" s="158"/>
      <c r="H49" s="157"/>
      <c r="I49" s="211"/>
      <c r="M49" s="157"/>
      <c r="N49" s="157"/>
      <c r="O49" s="157"/>
      <c r="P49" s="164"/>
      <c r="Q49" s="157"/>
      <c r="S49" s="157"/>
    </row>
    <row r="50" spans="1:19" s="179" customFormat="1" x14ac:dyDescent="0.3">
      <c r="A50" s="157"/>
      <c r="B50" s="157"/>
      <c r="C50" s="157"/>
      <c r="D50" s="157"/>
      <c r="E50" s="158"/>
      <c r="F50" s="157"/>
      <c r="G50" s="158"/>
      <c r="H50" s="157"/>
      <c r="M50" s="157"/>
      <c r="N50" s="157"/>
      <c r="O50" s="157"/>
      <c r="P50" s="164"/>
      <c r="Q50" s="157"/>
      <c r="S50" s="157"/>
    </row>
    <row r="51" spans="1:19" s="179" customFormat="1" x14ac:dyDescent="0.3">
      <c r="A51" s="157"/>
      <c r="B51" s="157"/>
      <c r="C51" s="157"/>
      <c r="D51" s="157"/>
      <c r="E51" s="158"/>
      <c r="F51" s="157"/>
      <c r="G51" s="158"/>
      <c r="H51" s="157"/>
      <c r="I51" s="157"/>
      <c r="J51" s="157"/>
      <c r="K51" s="164"/>
      <c r="L51" s="157"/>
      <c r="M51" s="157"/>
      <c r="N51" s="157"/>
      <c r="O51" s="157"/>
      <c r="P51" s="164"/>
      <c r="Q51" s="157"/>
      <c r="S51" s="157"/>
    </row>
    <row r="52" spans="1:19" s="179" customFormat="1" x14ac:dyDescent="0.3">
      <c r="A52" s="202">
        <f ca="1">NOW()</f>
        <v>44691.691627893517</v>
      </c>
      <c r="B52" s="164"/>
      <c r="C52" s="164"/>
      <c r="D52" s="157"/>
      <c r="E52" s="158"/>
      <c r="F52" s="157"/>
      <c r="G52" s="158"/>
      <c r="H52" s="157"/>
      <c r="I52" s="157"/>
      <c r="J52" s="157"/>
      <c r="K52" s="157" t="s">
        <v>101</v>
      </c>
      <c r="L52" s="157"/>
      <c r="M52" s="157"/>
      <c r="N52" s="157"/>
      <c r="O52" s="157"/>
      <c r="P52" s="164"/>
      <c r="Q52" s="157"/>
      <c r="S52" s="157"/>
    </row>
    <row r="53" spans="1:19" s="179" customFormat="1" x14ac:dyDescent="0.3">
      <c r="A53" s="157"/>
      <c r="B53" s="199">
        <v>1114313.6499999999</v>
      </c>
      <c r="C53" s="164"/>
      <c r="D53" s="157"/>
      <c r="E53" s="158"/>
      <c r="F53" s="157"/>
      <c r="G53" s="158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S53" s="157"/>
    </row>
    <row r="54" spans="1:19" s="179" customFormat="1" x14ac:dyDescent="0.3">
      <c r="A54" s="157"/>
      <c r="B54" s="157"/>
      <c r="C54" s="164"/>
      <c r="D54" s="157"/>
      <c r="E54" s="158"/>
      <c r="F54" s="157"/>
      <c r="G54" s="158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S54" s="157"/>
    </row>
    <row r="55" spans="1:19" s="179" customFormat="1" x14ac:dyDescent="0.3">
      <c r="A55" s="157"/>
      <c r="B55" s="164">
        <f>SUM(B29:B42)</f>
        <v>1114313.6469975</v>
      </c>
      <c r="C55" s="164"/>
      <c r="D55" s="157"/>
      <c r="E55" s="158"/>
      <c r="F55" s="157"/>
      <c r="G55" s="158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S55" s="157"/>
    </row>
    <row r="56" spans="1:19" s="179" customFormat="1" x14ac:dyDescent="0.3">
      <c r="A56" s="157"/>
      <c r="B56" s="157"/>
      <c r="C56" s="164"/>
      <c r="D56" s="157"/>
      <c r="E56" s="158"/>
      <c r="F56" s="157"/>
      <c r="G56" s="158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S56" s="157"/>
    </row>
    <row r="57" spans="1:19" s="179" customFormat="1" x14ac:dyDescent="0.3">
      <c r="A57" s="157"/>
      <c r="B57" s="193">
        <f>B53-B55</f>
        <v>3.0024999286979437E-3</v>
      </c>
      <c r="C57" s="164"/>
      <c r="D57" s="157"/>
      <c r="E57" s="158"/>
      <c r="F57" s="157"/>
      <c r="G57" s="158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S57" s="157"/>
    </row>
    <row r="58" spans="1:19" s="179" customFormat="1" x14ac:dyDescent="0.3">
      <c r="A58" s="157"/>
      <c r="B58" s="157"/>
      <c r="C58" s="164"/>
      <c r="D58" s="157"/>
      <c r="E58" s="158"/>
      <c r="F58" s="157"/>
      <c r="G58" s="158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S58" s="157"/>
    </row>
    <row r="59" spans="1:19" s="179" customFormat="1" x14ac:dyDescent="0.3">
      <c r="A59" s="157"/>
      <c r="B59" s="193">
        <f>35000+B57</f>
        <v>35000.003002499929</v>
      </c>
      <c r="C59" s="164"/>
      <c r="D59" s="157"/>
      <c r="E59" s="158"/>
      <c r="F59" s="157"/>
      <c r="G59" s="158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S59" s="157"/>
    </row>
    <row r="60" spans="1:19" s="179" customFormat="1" x14ac:dyDescent="0.3">
      <c r="A60" s="157"/>
      <c r="B60" s="157"/>
      <c r="C60" s="164"/>
      <c r="D60" s="157"/>
      <c r="E60" s="158"/>
      <c r="F60" s="157"/>
      <c r="G60" s="158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S60" s="157"/>
    </row>
    <row r="61" spans="1:19" x14ac:dyDescent="0.3">
      <c r="C61" s="164"/>
    </row>
    <row r="63" spans="1:19" x14ac:dyDescent="0.3">
      <c r="B63" s="164"/>
      <c r="C63" s="164"/>
      <c r="D63" s="164"/>
      <c r="E63" s="203"/>
      <c r="F63" s="164"/>
      <c r="G63" s="164"/>
      <c r="H63" s="164"/>
      <c r="I63" s="164"/>
      <c r="J63" s="164"/>
      <c r="K63" s="164"/>
      <c r="L63" s="164"/>
    </row>
    <row r="64" spans="1:19" x14ac:dyDescent="0.3">
      <c r="B64" s="164"/>
      <c r="C64" s="164"/>
      <c r="D64" s="164"/>
      <c r="E64" s="203"/>
      <c r="F64" s="164"/>
      <c r="G64" s="164"/>
      <c r="H64" s="164"/>
      <c r="I64" s="164"/>
      <c r="J64" s="164"/>
      <c r="K64" s="164"/>
      <c r="L64" s="164"/>
    </row>
    <row r="65" spans="2:12" x14ac:dyDescent="0.3">
      <c r="B65" s="164"/>
      <c r="C65" s="164"/>
      <c r="D65" s="164"/>
      <c r="E65" s="203"/>
      <c r="F65" s="164"/>
      <c r="G65" s="164"/>
      <c r="H65" s="164"/>
      <c r="I65" s="164"/>
      <c r="J65" s="164"/>
      <c r="K65" s="164"/>
      <c r="L65" s="164"/>
    </row>
    <row r="66" spans="2:12" x14ac:dyDescent="0.3">
      <c r="B66" s="164"/>
      <c r="C66" s="164"/>
      <c r="D66" s="164"/>
      <c r="E66" s="203"/>
      <c r="F66" s="164"/>
      <c r="G66" s="164"/>
      <c r="H66" s="164"/>
      <c r="I66" s="164"/>
      <c r="J66" s="164"/>
      <c r="K66" s="164"/>
      <c r="L66" s="164"/>
    </row>
    <row r="67" spans="2:12" x14ac:dyDescent="0.3">
      <c r="B67" s="164"/>
      <c r="C67" s="164"/>
      <c r="D67" s="164"/>
      <c r="E67" s="203"/>
      <c r="F67" s="164"/>
      <c r="G67" s="164"/>
      <c r="H67" s="164"/>
      <c r="I67" s="164"/>
      <c r="J67" s="164"/>
      <c r="K67" s="164"/>
      <c r="L67" s="164"/>
    </row>
    <row r="68" spans="2:12" x14ac:dyDescent="0.3">
      <c r="B68" s="164"/>
      <c r="C68" s="164"/>
      <c r="D68" s="164"/>
      <c r="E68" s="203"/>
      <c r="F68" s="164"/>
      <c r="G68" s="164"/>
      <c r="H68" s="164"/>
      <c r="I68" s="164"/>
      <c r="J68" s="164"/>
      <c r="K68" s="164"/>
      <c r="L68" s="164"/>
    </row>
    <row r="69" spans="2:12" x14ac:dyDescent="0.3">
      <c r="B69" s="164"/>
      <c r="C69" s="164"/>
      <c r="D69" s="164"/>
      <c r="E69" s="203"/>
      <c r="F69" s="164"/>
      <c r="G69" s="164"/>
      <c r="H69" s="164"/>
      <c r="I69" s="164"/>
      <c r="J69" s="164"/>
      <c r="K69" s="164"/>
      <c r="L69" s="164"/>
    </row>
    <row r="70" spans="2:12" x14ac:dyDescent="0.3">
      <c r="B70" s="164"/>
      <c r="C70" s="164"/>
      <c r="D70" s="164"/>
      <c r="E70" s="203"/>
      <c r="F70" s="164"/>
      <c r="G70" s="164"/>
      <c r="H70" s="164"/>
      <c r="I70" s="164"/>
      <c r="J70" s="164"/>
      <c r="K70" s="164"/>
      <c r="L70" s="164"/>
    </row>
    <row r="72" spans="2:12" x14ac:dyDescent="0.3">
      <c r="B72" s="164"/>
      <c r="C72" s="164"/>
      <c r="I72" s="164"/>
      <c r="K72" s="164"/>
    </row>
    <row r="73" spans="2:12" x14ac:dyDescent="0.3">
      <c r="I73" s="204"/>
      <c r="J73" s="204"/>
      <c r="K73" s="204"/>
      <c r="L73" s="204"/>
    </row>
  </sheetData>
  <mergeCells count="3">
    <mergeCell ref="A1:L1"/>
    <mergeCell ref="A2:L2"/>
    <mergeCell ref="I6:K6"/>
  </mergeCells>
  <printOptions horizontalCentered="1"/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1"/>
  <sheetViews>
    <sheetView zoomScale="70" zoomScaleNormal="70" zoomScaleSheetLayoutView="100" workbookViewId="0">
      <pane xSplit="1" ySplit="9" topLeftCell="B52" activePane="bottomRight" state="frozen"/>
      <selection activeCell="M7" sqref="M7"/>
      <selection pane="topRight" activeCell="M7" sqref="M7"/>
      <selection pane="bottomLeft" activeCell="M7" sqref="M7"/>
      <selection pane="bottomRight" sqref="A1:M76"/>
    </sheetView>
  </sheetViews>
  <sheetFormatPr defaultColWidth="10.7109375" defaultRowHeight="13.2" x14ac:dyDescent="0.25"/>
  <cols>
    <col min="1" max="1" width="18.85546875" style="38" customWidth="1"/>
    <col min="2" max="2" width="7.42578125" style="38" customWidth="1"/>
    <col min="3" max="3" width="16.140625" style="38" customWidth="1"/>
    <col min="4" max="4" width="4.42578125" style="38" customWidth="1"/>
    <col min="5" max="5" width="18.140625" style="39" customWidth="1"/>
    <col min="6" max="6" width="4.42578125" style="39" customWidth="1"/>
    <col min="7" max="7" width="20.140625" style="39" customWidth="1"/>
    <col min="8" max="8" width="4.42578125" style="39" customWidth="1"/>
    <col min="9" max="9" width="18.140625" style="39" customWidth="1"/>
    <col min="10" max="10" width="4.42578125" style="39" customWidth="1"/>
    <col min="11" max="11" width="18.140625" style="39" customWidth="1"/>
    <col min="12" max="12" width="4.42578125" style="39" customWidth="1"/>
    <col min="13" max="13" width="20.42578125" style="39" customWidth="1"/>
    <col min="14" max="14" width="19.85546875" style="39" customWidth="1"/>
    <col min="15" max="18" width="18.42578125" style="39" customWidth="1"/>
    <col min="19" max="19" width="10.7109375" style="39"/>
    <col min="20" max="23" width="18.42578125" style="39" customWidth="1"/>
    <col min="24" max="16384" width="10.7109375" style="39"/>
  </cols>
  <sheetData>
    <row r="1" spans="1:23" s="36" customFormat="1" ht="18" x14ac:dyDescent="0.35">
      <c r="A1" s="136" t="str">
        <f>COI2022A!A1</f>
        <v>MPEA 2022A Expansion Project Bond Deal</v>
      </c>
      <c r="B1" s="136"/>
      <c r="C1" s="51"/>
      <c r="D1" s="51"/>
      <c r="E1" s="51"/>
      <c r="F1" s="51"/>
      <c r="G1" s="51"/>
      <c r="H1" s="52"/>
      <c r="I1" s="51"/>
      <c r="J1" s="52"/>
      <c r="K1" s="53"/>
      <c r="L1" s="52"/>
      <c r="M1" s="53"/>
      <c r="O1" s="53"/>
      <c r="P1" s="53"/>
      <c r="Q1" s="53"/>
      <c r="R1" s="53"/>
      <c r="T1" s="53"/>
      <c r="U1" s="53"/>
      <c r="V1" s="53"/>
      <c r="W1" s="53"/>
    </row>
    <row r="2" spans="1:23" s="36" customFormat="1" ht="18" x14ac:dyDescent="0.35">
      <c r="A2" s="50" t="s">
        <v>35</v>
      </c>
      <c r="B2" s="50"/>
      <c r="C2" s="51"/>
      <c r="D2" s="51"/>
      <c r="E2" s="51"/>
      <c r="F2" s="51"/>
      <c r="G2" s="51"/>
      <c r="H2" s="52"/>
      <c r="I2" s="51"/>
      <c r="J2" s="52"/>
      <c r="K2" s="53"/>
      <c r="L2" s="52"/>
      <c r="M2" s="53"/>
      <c r="O2" s="53"/>
      <c r="P2" s="53"/>
      <c r="Q2" s="53"/>
      <c r="R2" s="53"/>
      <c r="T2" s="53"/>
      <c r="U2" s="53"/>
      <c r="V2" s="53"/>
      <c r="W2" s="53"/>
    </row>
    <row r="3" spans="1:23" s="35" customFormat="1" ht="15.6" x14ac:dyDescent="0.3">
      <c r="A3" s="54" t="s">
        <v>131</v>
      </c>
      <c r="B3" s="54"/>
      <c r="C3" s="55"/>
      <c r="D3" s="55"/>
      <c r="E3" s="55"/>
      <c r="F3" s="55"/>
      <c r="G3" s="55"/>
      <c r="H3" s="56"/>
      <c r="I3" s="55"/>
      <c r="J3" s="56"/>
      <c r="K3" s="57"/>
      <c r="L3" s="56"/>
      <c r="M3" s="57"/>
      <c r="O3" s="57"/>
      <c r="P3" s="57"/>
      <c r="Q3" s="57"/>
      <c r="R3" s="57"/>
      <c r="T3" s="57"/>
      <c r="U3" s="57"/>
      <c r="V3" s="57"/>
      <c r="W3" s="57"/>
    </row>
    <row r="4" spans="1:23" s="34" customFormat="1" ht="13.8" x14ac:dyDescent="0.25">
      <c r="A4" s="8"/>
      <c r="B4" s="8"/>
      <c r="C4" s="8"/>
      <c r="D4" s="8"/>
      <c r="E4" s="11"/>
      <c r="F4" s="11"/>
      <c r="G4" s="11"/>
      <c r="H4" s="11"/>
      <c r="I4" s="11"/>
      <c r="J4" s="11"/>
      <c r="K4" s="11"/>
      <c r="L4" s="11"/>
      <c r="M4" s="11"/>
      <c r="O4" s="11"/>
      <c r="P4" s="11"/>
      <c r="Q4" s="11"/>
      <c r="R4" s="11"/>
      <c r="T4" s="11"/>
      <c r="U4" s="11"/>
      <c r="V4" s="11"/>
      <c r="W4" s="11"/>
    </row>
    <row r="5" spans="1:23" s="34" customFormat="1" ht="13.8" x14ac:dyDescent="0.25">
      <c r="A5" s="8"/>
      <c r="B5" s="41" t="s">
        <v>24</v>
      </c>
      <c r="C5" s="8"/>
      <c r="D5" s="8"/>
      <c r="E5" s="42">
        <v>44637</v>
      </c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T5" s="11"/>
      <c r="U5" s="11"/>
      <c r="V5" s="11"/>
      <c r="W5" s="11"/>
    </row>
    <row r="6" spans="1:23" s="34" customFormat="1" ht="13.8" x14ac:dyDescent="0.25">
      <c r="A6" s="8"/>
      <c r="B6" s="8"/>
      <c r="C6" s="8"/>
      <c r="D6" s="8"/>
      <c r="E6" s="11"/>
      <c r="F6" s="11"/>
      <c r="G6" s="11"/>
      <c r="H6" s="11"/>
      <c r="I6" s="11"/>
      <c r="J6" s="11"/>
      <c r="K6" s="11"/>
      <c r="L6" s="11"/>
      <c r="M6" s="11"/>
      <c r="O6" s="11"/>
      <c r="P6" s="11"/>
      <c r="Q6" s="11"/>
      <c r="R6" s="11"/>
      <c r="T6" s="11"/>
      <c r="U6" s="11"/>
      <c r="V6" s="11"/>
      <c r="W6" s="11"/>
    </row>
    <row r="7" spans="1:23" s="37" customFormat="1" ht="13.8" x14ac:dyDescent="0.25">
      <c r="A7" s="33" t="s">
        <v>21</v>
      </c>
      <c r="B7" s="33"/>
      <c r="C7" s="33" t="s">
        <v>25</v>
      </c>
      <c r="D7" s="33"/>
      <c r="E7" s="11"/>
      <c r="F7" s="11"/>
      <c r="G7" s="11"/>
      <c r="H7" s="11"/>
      <c r="I7" s="11"/>
      <c r="J7" s="11"/>
      <c r="K7" s="11"/>
      <c r="L7" s="11"/>
      <c r="M7" s="11"/>
      <c r="O7" s="11"/>
      <c r="P7" s="11"/>
      <c r="Q7" s="11"/>
      <c r="R7" s="11"/>
      <c r="T7" s="11"/>
      <c r="U7" s="11"/>
      <c r="V7" s="11"/>
      <c r="W7" s="11"/>
    </row>
    <row r="8" spans="1:23" s="34" customFormat="1" ht="13.8" x14ac:dyDescent="0.25">
      <c r="A8" s="9" t="s">
        <v>22</v>
      </c>
      <c r="B8" s="9"/>
      <c r="C8" s="9" t="s">
        <v>26</v>
      </c>
      <c r="D8" s="9"/>
      <c r="E8" s="11" t="s">
        <v>28</v>
      </c>
      <c r="F8" s="11"/>
      <c r="G8" s="10"/>
      <c r="H8" s="11"/>
      <c r="I8" s="11" t="s">
        <v>31</v>
      </c>
      <c r="J8" s="11"/>
      <c r="K8" s="11" t="s">
        <v>33</v>
      </c>
      <c r="L8" s="11"/>
      <c r="M8" s="11"/>
      <c r="N8" s="11"/>
      <c r="O8" s="11"/>
      <c r="P8" s="11"/>
      <c r="Q8" s="11"/>
      <c r="R8" s="11"/>
      <c r="T8" s="11"/>
      <c r="U8" s="11"/>
      <c r="V8" s="11"/>
      <c r="W8" s="11"/>
    </row>
    <row r="9" spans="1:23" s="34" customFormat="1" ht="13.8" x14ac:dyDescent="0.25">
      <c r="A9" s="12" t="s">
        <v>23</v>
      </c>
      <c r="B9" s="12"/>
      <c r="C9" s="12" t="s">
        <v>27</v>
      </c>
      <c r="D9" s="12"/>
      <c r="E9" s="10" t="s">
        <v>29</v>
      </c>
      <c r="F9" s="10"/>
      <c r="G9" s="10" t="s">
        <v>30</v>
      </c>
      <c r="H9" s="10"/>
      <c r="I9" s="10" t="s">
        <v>32</v>
      </c>
      <c r="J9" s="10"/>
      <c r="K9" s="10" t="s">
        <v>32</v>
      </c>
      <c r="L9" s="10"/>
      <c r="M9" s="10" t="s">
        <v>34</v>
      </c>
      <c r="N9" s="10"/>
      <c r="O9" s="10"/>
      <c r="P9" s="10"/>
      <c r="Q9" s="10"/>
      <c r="R9" s="10"/>
      <c r="T9" s="10"/>
      <c r="U9" s="10"/>
      <c r="V9" s="10"/>
      <c r="W9" s="10"/>
    </row>
    <row r="10" spans="1:23" ht="13.8" x14ac:dyDescent="0.25">
      <c r="A10" s="8">
        <v>44545</v>
      </c>
      <c r="B10" s="8"/>
      <c r="C10" s="6"/>
      <c r="D10" s="6"/>
      <c r="E10" s="5"/>
      <c r="F10" s="45"/>
      <c r="G10" s="5"/>
      <c r="H10" s="45"/>
      <c r="I10" s="5"/>
      <c r="J10" s="45"/>
      <c r="K10" s="5"/>
      <c r="L10" s="45"/>
      <c r="M10" s="5">
        <f t="shared" ref="M10:M71" si="0">SUM(E10:L10)</f>
        <v>0</v>
      </c>
      <c r="N10" s="4"/>
      <c r="O10" s="5"/>
      <c r="P10" s="5"/>
      <c r="Q10" s="5"/>
      <c r="R10" s="5"/>
      <c r="T10" s="5"/>
      <c r="U10" s="5"/>
      <c r="V10" s="5"/>
      <c r="W10" s="5"/>
    </row>
    <row r="11" spans="1:23" ht="13.8" x14ac:dyDescent="0.25">
      <c r="A11" s="8">
        <v>44727</v>
      </c>
      <c r="B11" s="8"/>
      <c r="C11" s="6"/>
      <c r="D11" s="6"/>
      <c r="E11" s="5"/>
      <c r="F11" s="45"/>
      <c r="G11" s="5">
        <v>6670204.4400000004</v>
      </c>
      <c r="H11" s="45"/>
      <c r="I11" s="5"/>
      <c r="J11" s="45"/>
      <c r="K11" s="5">
        <v>-6670204.4400000004</v>
      </c>
      <c r="L11" s="45"/>
      <c r="M11" s="5">
        <f t="shared" si="0"/>
        <v>0</v>
      </c>
      <c r="N11" s="5"/>
      <c r="O11" s="5"/>
      <c r="P11" s="5"/>
      <c r="Q11" s="5"/>
      <c r="R11" s="5"/>
      <c r="T11" s="5"/>
      <c r="U11" s="5"/>
      <c r="V11" s="5"/>
      <c r="W11" s="5"/>
    </row>
    <row r="12" spans="1:23" ht="13.8" x14ac:dyDescent="0.25">
      <c r="A12" s="8">
        <v>44910</v>
      </c>
      <c r="B12" s="8"/>
      <c r="C12" s="6"/>
      <c r="D12" s="6"/>
      <c r="E12" s="5"/>
      <c r="F12" s="45"/>
      <c r="G12" s="5">
        <v>13643600</v>
      </c>
      <c r="H12" s="45"/>
      <c r="I12" s="5"/>
      <c r="J12" s="45"/>
      <c r="K12" s="5">
        <v>-12066751.17</v>
      </c>
      <c r="L12" s="45"/>
      <c r="M12" s="5">
        <f t="shared" si="0"/>
        <v>1576848.83</v>
      </c>
      <c r="N12" s="4"/>
      <c r="O12" s="5"/>
      <c r="P12" s="5"/>
      <c r="Q12" s="5"/>
      <c r="R12" s="5"/>
      <c r="T12" s="5"/>
      <c r="U12" s="5"/>
      <c r="V12" s="5"/>
      <c r="W12" s="5"/>
    </row>
    <row r="13" spans="1:23" ht="13.8" x14ac:dyDescent="0.25">
      <c r="A13" s="8">
        <v>45092</v>
      </c>
      <c r="B13" s="8"/>
      <c r="C13" s="6"/>
      <c r="D13" s="6"/>
      <c r="E13" s="5"/>
      <c r="F13" s="45"/>
      <c r="G13" s="5">
        <v>13643600</v>
      </c>
      <c r="H13" s="45"/>
      <c r="I13" s="5"/>
      <c r="J13" s="45"/>
      <c r="K13" s="5"/>
      <c r="L13" s="45"/>
      <c r="M13" s="5">
        <f t="shared" si="0"/>
        <v>13643600</v>
      </c>
      <c r="N13" s="5"/>
      <c r="O13" s="5"/>
      <c r="P13" s="5"/>
      <c r="Q13" s="5"/>
      <c r="R13" s="5"/>
      <c r="T13" s="5"/>
      <c r="U13" s="5"/>
      <c r="V13" s="5"/>
      <c r="W13" s="5"/>
    </row>
    <row r="14" spans="1:23" ht="13.8" x14ac:dyDescent="0.25">
      <c r="A14" s="8">
        <v>45275</v>
      </c>
      <c r="B14" s="8"/>
      <c r="C14" s="6"/>
      <c r="D14" s="6"/>
      <c r="E14" s="5"/>
      <c r="F14" s="45"/>
      <c r="G14" s="5">
        <v>13643600</v>
      </c>
      <c r="H14" s="45"/>
      <c r="I14" s="5"/>
      <c r="J14" s="45"/>
      <c r="K14" s="5"/>
      <c r="L14" s="45"/>
      <c r="M14" s="5">
        <f t="shared" si="0"/>
        <v>13643600</v>
      </c>
      <c r="N14" s="4"/>
      <c r="O14" s="5"/>
      <c r="P14" s="5"/>
      <c r="Q14" s="5"/>
      <c r="R14" s="5"/>
      <c r="T14" s="5"/>
      <c r="U14" s="5"/>
      <c r="V14" s="5"/>
      <c r="W14" s="5"/>
    </row>
    <row r="15" spans="1:23" ht="13.8" x14ac:dyDescent="0.25">
      <c r="A15" s="8">
        <v>45458</v>
      </c>
      <c r="B15" s="8"/>
      <c r="C15" s="6">
        <v>0.03</v>
      </c>
      <c r="D15" s="6"/>
      <c r="E15" s="5">
        <v>23950000</v>
      </c>
      <c r="F15" s="45"/>
      <c r="G15" s="5">
        <v>13643600</v>
      </c>
      <c r="H15" s="45"/>
      <c r="I15" s="5"/>
      <c r="J15" s="45"/>
      <c r="K15" s="5"/>
      <c r="L15" s="45"/>
      <c r="M15" s="5">
        <f t="shared" si="0"/>
        <v>37593600</v>
      </c>
      <c r="N15" s="5"/>
      <c r="O15" s="5"/>
      <c r="P15" s="5"/>
      <c r="Q15" s="5"/>
      <c r="R15" s="5"/>
      <c r="T15" s="5"/>
      <c r="U15" s="5"/>
      <c r="V15" s="5"/>
      <c r="W15" s="5"/>
    </row>
    <row r="16" spans="1:23" ht="13.8" x14ac:dyDescent="0.25">
      <c r="A16" s="8">
        <v>45641</v>
      </c>
      <c r="B16" s="8"/>
      <c r="C16" s="6"/>
      <c r="D16" s="6"/>
      <c r="E16" s="5"/>
      <c r="F16" s="45"/>
      <c r="G16" s="5">
        <v>13284350</v>
      </c>
      <c r="H16" s="45"/>
      <c r="I16" s="5"/>
      <c r="J16" s="45"/>
      <c r="K16" s="5"/>
      <c r="L16" s="45"/>
      <c r="M16" s="5">
        <f t="shared" si="0"/>
        <v>13284350</v>
      </c>
      <c r="N16" s="4"/>
      <c r="O16" s="5"/>
      <c r="P16" s="5"/>
      <c r="Q16" s="5"/>
      <c r="R16" s="5"/>
      <c r="T16" s="5"/>
      <c r="U16" s="5"/>
      <c r="V16" s="5"/>
      <c r="W16" s="5"/>
    </row>
    <row r="17" spans="1:23" ht="13.8" x14ac:dyDescent="0.25">
      <c r="A17" s="8">
        <v>45823</v>
      </c>
      <c r="B17" s="8"/>
      <c r="C17" s="6">
        <v>0.03</v>
      </c>
      <c r="D17" s="6"/>
      <c r="E17" s="5">
        <v>20830000</v>
      </c>
      <c r="F17" s="45"/>
      <c r="G17" s="5">
        <v>13284350</v>
      </c>
      <c r="H17" s="45"/>
      <c r="I17" s="5"/>
      <c r="J17" s="45"/>
      <c r="K17" s="5"/>
      <c r="L17" s="45"/>
      <c r="M17" s="5">
        <f t="shared" si="0"/>
        <v>34114350</v>
      </c>
      <c r="N17" s="5"/>
      <c r="O17" s="5"/>
      <c r="P17" s="5"/>
      <c r="Q17" s="5"/>
      <c r="R17" s="5"/>
      <c r="T17" s="5"/>
      <c r="U17" s="5"/>
      <c r="V17" s="5"/>
      <c r="W17" s="5"/>
    </row>
    <row r="18" spans="1:23" ht="13.8" x14ac:dyDescent="0.25">
      <c r="A18" s="8">
        <v>46006</v>
      </c>
      <c r="B18" s="8"/>
      <c r="C18" s="6"/>
      <c r="D18" s="6"/>
      <c r="E18" s="5"/>
      <c r="F18" s="45"/>
      <c r="G18" s="5">
        <v>12971900</v>
      </c>
      <c r="H18" s="45"/>
      <c r="I18" s="5"/>
      <c r="J18" s="45"/>
      <c r="K18" s="5"/>
      <c r="L18" s="45"/>
      <c r="M18" s="5">
        <f t="shared" si="0"/>
        <v>12971900</v>
      </c>
      <c r="N18" s="4"/>
      <c r="O18" s="5"/>
      <c r="P18" s="5"/>
      <c r="Q18" s="5"/>
      <c r="R18" s="5"/>
      <c r="T18" s="5"/>
      <c r="U18" s="5"/>
      <c r="V18" s="5"/>
      <c r="W18" s="5"/>
    </row>
    <row r="19" spans="1:23" ht="13.8" x14ac:dyDescent="0.25">
      <c r="A19" s="8">
        <v>46188</v>
      </c>
      <c r="B19" s="8"/>
      <c r="C19" s="6"/>
      <c r="D19" s="6"/>
      <c r="E19" s="5"/>
      <c r="F19" s="45"/>
      <c r="G19" s="5">
        <v>12971900</v>
      </c>
      <c r="H19" s="45"/>
      <c r="I19" s="5"/>
      <c r="J19" s="45"/>
      <c r="K19" s="5"/>
      <c r="L19" s="45"/>
      <c r="M19" s="5">
        <f t="shared" si="0"/>
        <v>12971900</v>
      </c>
      <c r="N19" s="5"/>
      <c r="O19" s="5"/>
      <c r="P19" s="5"/>
      <c r="Q19" s="5"/>
      <c r="R19" s="5"/>
      <c r="T19" s="5"/>
      <c r="U19" s="5"/>
      <c r="V19" s="5"/>
      <c r="W19" s="5"/>
    </row>
    <row r="20" spans="1:23" ht="13.8" x14ac:dyDescent="0.25">
      <c r="A20" s="8">
        <v>46371</v>
      </c>
      <c r="B20" s="8"/>
      <c r="C20" s="6"/>
      <c r="D20" s="6"/>
      <c r="E20" s="5"/>
      <c r="F20" s="45"/>
      <c r="G20" s="5">
        <v>12971900</v>
      </c>
      <c r="H20" s="45"/>
      <c r="I20" s="5"/>
      <c r="J20" s="45"/>
      <c r="K20" s="5"/>
      <c r="L20" s="45"/>
      <c r="M20" s="5">
        <f t="shared" si="0"/>
        <v>12971900</v>
      </c>
      <c r="N20" s="4"/>
      <c r="O20" s="5"/>
      <c r="P20" s="5"/>
      <c r="Q20" s="5"/>
      <c r="R20" s="5"/>
      <c r="T20" s="5"/>
      <c r="U20" s="5"/>
      <c r="V20" s="5"/>
      <c r="W20" s="5"/>
    </row>
    <row r="21" spans="1:23" ht="13.8" x14ac:dyDescent="0.25">
      <c r="A21" s="8">
        <v>46553</v>
      </c>
      <c r="B21" s="8"/>
      <c r="C21" s="6"/>
      <c r="D21" s="6"/>
      <c r="E21" s="5"/>
      <c r="F21" s="45"/>
      <c r="G21" s="5">
        <v>12971900</v>
      </c>
      <c r="H21" s="45"/>
      <c r="I21" s="5"/>
      <c r="J21" s="45"/>
      <c r="K21" s="5"/>
      <c r="L21" s="45"/>
      <c r="M21" s="5">
        <f t="shared" si="0"/>
        <v>12971900</v>
      </c>
      <c r="N21" s="5"/>
      <c r="O21" s="5"/>
      <c r="P21" s="5"/>
      <c r="Q21" s="5"/>
      <c r="R21" s="5"/>
      <c r="T21" s="5"/>
      <c r="U21" s="5"/>
      <c r="V21" s="5"/>
      <c r="W21" s="5"/>
    </row>
    <row r="22" spans="1:23" ht="13.8" x14ac:dyDescent="0.25">
      <c r="A22" s="8">
        <v>46736</v>
      </c>
      <c r="B22" s="8"/>
      <c r="C22" s="6"/>
      <c r="D22" s="6"/>
      <c r="E22" s="5"/>
      <c r="F22" s="45"/>
      <c r="G22" s="5">
        <v>12971900</v>
      </c>
      <c r="H22" s="45"/>
      <c r="I22" s="5"/>
      <c r="J22" s="45"/>
      <c r="K22" s="5"/>
      <c r="L22" s="45"/>
      <c r="M22" s="5">
        <f t="shared" si="0"/>
        <v>12971900</v>
      </c>
      <c r="N22" s="4"/>
      <c r="O22" s="5"/>
      <c r="P22" s="5"/>
      <c r="Q22" s="5"/>
      <c r="R22" s="5"/>
      <c r="T22" s="5"/>
      <c r="U22" s="5"/>
      <c r="V22" s="5"/>
      <c r="W22" s="5"/>
    </row>
    <row r="23" spans="1:23" ht="13.8" x14ac:dyDescent="0.25">
      <c r="A23" s="8">
        <v>46919</v>
      </c>
      <c r="B23" s="8"/>
      <c r="C23" s="145"/>
      <c r="D23" s="6"/>
      <c r="E23" s="5"/>
      <c r="F23" s="45"/>
      <c r="G23" s="5">
        <v>12971900</v>
      </c>
      <c r="H23" s="45"/>
      <c r="I23" s="5"/>
      <c r="J23" s="45"/>
      <c r="K23" s="5"/>
      <c r="L23" s="45"/>
      <c r="M23" s="5">
        <f t="shared" si="0"/>
        <v>12971900</v>
      </c>
      <c r="N23" s="5"/>
      <c r="O23" s="5"/>
      <c r="P23" s="5"/>
      <c r="Q23" s="5"/>
      <c r="R23" s="5"/>
      <c r="T23" s="5"/>
      <c r="U23" s="5"/>
      <c r="V23" s="5"/>
      <c r="W23" s="5"/>
    </row>
    <row r="24" spans="1:23" ht="13.8" x14ac:dyDescent="0.25">
      <c r="A24" s="8">
        <v>47102</v>
      </c>
      <c r="B24" s="8"/>
      <c r="C24" s="6"/>
      <c r="D24" s="6"/>
      <c r="E24" s="5"/>
      <c r="F24" s="45"/>
      <c r="G24" s="5">
        <v>12971900</v>
      </c>
      <c r="H24" s="45"/>
      <c r="I24" s="5"/>
      <c r="J24" s="45"/>
      <c r="K24" s="5"/>
      <c r="L24" s="45"/>
      <c r="M24" s="5">
        <f t="shared" si="0"/>
        <v>12971900</v>
      </c>
      <c r="N24" s="4"/>
      <c r="O24" s="5"/>
      <c r="P24" s="5"/>
      <c r="Q24" s="5"/>
      <c r="R24" s="5"/>
      <c r="T24" s="5"/>
      <c r="U24" s="5"/>
      <c r="V24" s="5"/>
      <c r="W24" s="5"/>
    </row>
    <row r="25" spans="1:23" ht="13.8" x14ac:dyDescent="0.25">
      <c r="A25" s="8">
        <v>47284</v>
      </c>
      <c r="B25" s="8"/>
      <c r="C25" s="6"/>
      <c r="D25" s="6"/>
      <c r="E25" s="5"/>
      <c r="F25" s="45"/>
      <c r="G25" s="5">
        <v>12971900</v>
      </c>
      <c r="H25" s="45"/>
      <c r="I25" s="5"/>
      <c r="J25" s="45"/>
      <c r="K25" s="5"/>
      <c r="L25" s="45"/>
      <c r="M25" s="5">
        <f t="shared" si="0"/>
        <v>12971900</v>
      </c>
      <c r="N25" s="5"/>
      <c r="O25" s="5"/>
      <c r="P25" s="5"/>
      <c r="Q25" s="5"/>
      <c r="R25" s="5"/>
      <c r="T25" s="5"/>
      <c r="U25" s="5"/>
      <c r="V25" s="5"/>
      <c r="W25" s="5"/>
    </row>
    <row r="26" spans="1:23" ht="13.8" x14ac:dyDescent="0.25">
      <c r="A26" s="8">
        <v>47467</v>
      </c>
      <c r="B26" s="8"/>
      <c r="C26" s="6"/>
      <c r="D26" s="6"/>
      <c r="E26" s="5"/>
      <c r="F26" s="45"/>
      <c r="G26" s="5">
        <v>12971900</v>
      </c>
      <c r="H26" s="45"/>
      <c r="I26" s="5"/>
      <c r="J26" s="45"/>
      <c r="K26" s="5"/>
      <c r="L26" s="45"/>
      <c r="M26" s="5">
        <f t="shared" si="0"/>
        <v>12971900</v>
      </c>
      <c r="N26" s="4"/>
      <c r="O26" s="5"/>
      <c r="P26" s="5"/>
      <c r="Q26" s="5"/>
      <c r="R26" s="5"/>
      <c r="T26" s="5"/>
      <c r="U26" s="5"/>
      <c r="V26" s="5"/>
      <c r="W26" s="5"/>
    </row>
    <row r="27" spans="1:23" ht="13.8" x14ac:dyDescent="0.25">
      <c r="A27" s="8">
        <v>47649</v>
      </c>
      <c r="B27" s="8"/>
      <c r="C27" s="6"/>
      <c r="D27" s="6"/>
      <c r="E27" s="5"/>
      <c r="F27" s="45"/>
      <c r="G27" s="5">
        <v>12971900</v>
      </c>
      <c r="H27" s="45"/>
      <c r="I27" s="5"/>
      <c r="J27" s="45"/>
      <c r="K27" s="5"/>
      <c r="L27" s="45"/>
      <c r="M27" s="5">
        <f t="shared" si="0"/>
        <v>12971900</v>
      </c>
      <c r="N27" s="5"/>
      <c r="O27" s="5"/>
      <c r="P27" s="5"/>
      <c r="Q27" s="5"/>
      <c r="R27" s="5"/>
      <c r="T27" s="5"/>
      <c r="U27" s="5"/>
      <c r="V27" s="5"/>
      <c r="W27" s="5"/>
    </row>
    <row r="28" spans="1:23" ht="13.8" x14ac:dyDescent="0.25">
      <c r="A28" s="8">
        <v>47832</v>
      </c>
      <c r="B28" s="8"/>
      <c r="C28" s="6"/>
      <c r="D28" s="6"/>
      <c r="E28" s="5"/>
      <c r="F28" s="45"/>
      <c r="G28" s="5">
        <v>12971900</v>
      </c>
      <c r="H28" s="45"/>
      <c r="I28" s="5"/>
      <c r="J28" s="45"/>
      <c r="K28" s="5"/>
      <c r="L28" s="45"/>
      <c r="M28" s="5">
        <f t="shared" si="0"/>
        <v>12971900</v>
      </c>
      <c r="N28" s="4"/>
      <c r="O28" s="5"/>
      <c r="P28" s="5"/>
      <c r="Q28" s="5"/>
      <c r="R28" s="5"/>
      <c r="T28" s="5"/>
      <c r="U28" s="5"/>
      <c r="V28" s="5"/>
      <c r="W28" s="5"/>
    </row>
    <row r="29" spans="1:23" ht="13.8" x14ac:dyDescent="0.25">
      <c r="A29" s="8">
        <v>48014</v>
      </c>
      <c r="B29" s="8"/>
      <c r="C29" s="6"/>
      <c r="D29" s="6"/>
      <c r="E29" s="5"/>
      <c r="F29" s="45"/>
      <c r="G29" s="5">
        <v>12971900</v>
      </c>
      <c r="H29" s="45"/>
      <c r="I29" s="5"/>
      <c r="J29" s="45"/>
      <c r="K29" s="5"/>
      <c r="L29" s="45"/>
      <c r="M29" s="5">
        <f t="shared" si="0"/>
        <v>12971900</v>
      </c>
      <c r="N29" s="5"/>
      <c r="O29" s="5"/>
      <c r="P29" s="5"/>
      <c r="Q29" s="5"/>
      <c r="R29" s="5"/>
      <c r="T29" s="5"/>
      <c r="U29" s="5"/>
      <c r="V29" s="5"/>
      <c r="W29" s="5"/>
    </row>
    <row r="30" spans="1:23" ht="13.8" x14ac:dyDescent="0.25">
      <c r="A30" s="8">
        <v>48197</v>
      </c>
      <c r="B30" s="8"/>
      <c r="C30" s="6"/>
      <c r="D30" s="6"/>
      <c r="E30" s="5"/>
      <c r="F30" s="45"/>
      <c r="G30" s="5">
        <v>12971900</v>
      </c>
      <c r="H30" s="45"/>
      <c r="I30" s="5"/>
      <c r="J30" s="45"/>
      <c r="K30" s="5"/>
      <c r="L30" s="45"/>
      <c r="M30" s="5">
        <f t="shared" si="0"/>
        <v>12971900</v>
      </c>
      <c r="N30" s="4"/>
      <c r="O30" s="5"/>
      <c r="P30" s="5"/>
      <c r="Q30" s="5"/>
      <c r="R30" s="5"/>
      <c r="T30" s="5"/>
      <c r="U30" s="5"/>
      <c r="V30" s="5"/>
      <c r="W30" s="5"/>
    </row>
    <row r="31" spans="1:23" ht="13.8" x14ac:dyDescent="0.25">
      <c r="A31" s="8">
        <v>48380</v>
      </c>
      <c r="B31" s="8"/>
      <c r="C31" s="6"/>
      <c r="D31" s="6"/>
      <c r="E31" s="5"/>
      <c r="F31" s="45"/>
      <c r="G31" s="5">
        <v>12971900</v>
      </c>
      <c r="H31" s="45"/>
      <c r="I31" s="5"/>
      <c r="J31" s="45"/>
      <c r="K31" s="5"/>
      <c r="L31" s="45"/>
      <c r="M31" s="5">
        <f t="shared" si="0"/>
        <v>12971900</v>
      </c>
      <c r="N31" s="5"/>
      <c r="O31" s="5"/>
      <c r="P31" s="5"/>
      <c r="Q31" s="5"/>
      <c r="R31" s="5"/>
      <c r="T31" s="5"/>
      <c r="U31" s="5"/>
      <c r="V31" s="5"/>
      <c r="W31" s="5"/>
    </row>
    <row r="32" spans="1:23" ht="13.8" x14ac:dyDescent="0.25">
      <c r="A32" s="8">
        <v>48563</v>
      </c>
      <c r="B32" s="8"/>
      <c r="C32" s="6"/>
      <c r="D32" s="6"/>
      <c r="E32" s="5"/>
      <c r="F32" s="45"/>
      <c r="G32" s="5">
        <v>12971900</v>
      </c>
      <c r="H32" s="45"/>
      <c r="I32" s="5"/>
      <c r="J32" s="45"/>
      <c r="K32" s="5"/>
      <c r="L32" s="45"/>
      <c r="M32" s="5">
        <f t="shared" si="0"/>
        <v>12971900</v>
      </c>
      <c r="N32" s="4"/>
      <c r="O32" s="5"/>
      <c r="P32" s="5"/>
      <c r="Q32" s="5"/>
      <c r="R32" s="5"/>
      <c r="T32" s="5"/>
      <c r="U32" s="5"/>
      <c r="V32" s="5"/>
      <c r="W32" s="5"/>
    </row>
    <row r="33" spans="1:23" ht="13.8" x14ac:dyDescent="0.25">
      <c r="A33" s="8">
        <v>48745</v>
      </c>
      <c r="B33" s="8"/>
      <c r="C33" s="6"/>
      <c r="D33" s="6"/>
      <c r="E33" s="5"/>
      <c r="F33" s="45"/>
      <c r="G33" s="5">
        <v>12971900</v>
      </c>
      <c r="H33" s="45"/>
      <c r="I33" s="5"/>
      <c r="J33" s="45"/>
      <c r="K33" s="5"/>
      <c r="L33" s="45"/>
      <c r="M33" s="5">
        <f t="shared" si="0"/>
        <v>12971900</v>
      </c>
      <c r="N33" s="5"/>
      <c r="O33" s="5"/>
      <c r="P33" s="5"/>
      <c r="Q33" s="5"/>
      <c r="R33" s="5"/>
      <c r="T33" s="5"/>
      <c r="U33" s="5"/>
      <c r="V33" s="5"/>
      <c r="W33" s="5"/>
    </row>
    <row r="34" spans="1:23" ht="13.8" x14ac:dyDescent="0.25">
      <c r="A34" s="8">
        <v>48928</v>
      </c>
      <c r="B34" s="8"/>
      <c r="C34" s="6"/>
      <c r="D34" s="6"/>
      <c r="E34" s="5"/>
      <c r="F34" s="45"/>
      <c r="G34" s="5">
        <v>12971900</v>
      </c>
      <c r="H34" s="45"/>
      <c r="I34" s="5"/>
      <c r="J34" s="45"/>
      <c r="K34" s="5"/>
      <c r="L34" s="45"/>
      <c r="M34" s="5">
        <f t="shared" si="0"/>
        <v>12971900</v>
      </c>
      <c r="N34" s="4"/>
      <c r="O34" s="5"/>
      <c r="P34" s="5"/>
      <c r="Q34" s="5"/>
      <c r="R34" s="5"/>
      <c r="T34" s="5"/>
      <c r="U34" s="5"/>
      <c r="V34" s="5"/>
      <c r="W34" s="5"/>
    </row>
    <row r="35" spans="1:23" ht="13.8" x14ac:dyDescent="0.25">
      <c r="A35" s="8">
        <v>49110</v>
      </c>
      <c r="B35" s="8"/>
      <c r="C35" s="6"/>
      <c r="D35" s="6"/>
      <c r="E35" s="5"/>
      <c r="F35" s="45"/>
      <c r="G35" s="5">
        <v>12971900</v>
      </c>
      <c r="H35" s="45"/>
      <c r="I35" s="5"/>
      <c r="J35" s="45"/>
      <c r="K35" s="5"/>
      <c r="L35" s="45"/>
      <c r="M35" s="5">
        <f t="shared" si="0"/>
        <v>12971900</v>
      </c>
      <c r="N35" s="5"/>
      <c r="O35" s="5"/>
      <c r="P35" s="5"/>
      <c r="Q35" s="5"/>
      <c r="R35" s="5"/>
      <c r="T35" s="5"/>
      <c r="U35" s="5"/>
      <c r="V35" s="5"/>
      <c r="W35" s="5"/>
    </row>
    <row r="36" spans="1:23" ht="13.8" x14ac:dyDescent="0.25">
      <c r="A36" s="8">
        <v>49293</v>
      </c>
      <c r="B36" s="8"/>
      <c r="C36" s="6"/>
      <c r="D36" s="6"/>
      <c r="E36" s="5"/>
      <c r="F36" s="45"/>
      <c r="G36" s="5">
        <v>12971900</v>
      </c>
      <c r="H36" s="45"/>
      <c r="I36" s="5"/>
      <c r="J36" s="45"/>
      <c r="K36" s="5"/>
      <c r="L36" s="45"/>
      <c r="M36" s="5">
        <f t="shared" si="0"/>
        <v>12971900</v>
      </c>
      <c r="N36" s="4"/>
      <c r="O36" s="5"/>
      <c r="P36" s="5"/>
      <c r="Q36" s="5"/>
      <c r="R36" s="5"/>
      <c r="T36" s="5"/>
      <c r="U36" s="5"/>
      <c r="V36" s="5"/>
      <c r="W36" s="5"/>
    </row>
    <row r="37" spans="1:23" ht="13.8" x14ac:dyDescent="0.25">
      <c r="A37" s="8">
        <v>49475</v>
      </c>
      <c r="B37" s="8"/>
      <c r="C37" s="6"/>
      <c r="D37" s="6"/>
      <c r="E37" s="5"/>
      <c r="F37" s="45"/>
      <c r="G37" s="5">
        <v>12971900</v>
      </c>
      <c r="H37" s="45"/>
      <c r="I37" s="5"/>
      <c r="J37" s="45"/>
      <c r="K37" s="5"/>
      <c r="L37" s="45"/>
      <c r="M37" s="5">
        <f t="shared" si="0"/>
        <v>12971900</v>
      </c>
      <c r="N37" s="5"/>
      <c r="O37" s="5"/>
      <c r="P37" s="5"/>
      <c r="Q37" s="5"/>
      <c r="R37" s="5"/>
      <c r="T37" s="5"/>
      <c r="U37" s="5"/>
      <c r="V37" s="5"/>
      <c r="W37" s="5"/>
    </row>
    <row r="38" spans="1:23" ht="13.8" x14ac:dyDescent="0.25">
      <c r="A38" s="8">
        <v>49658</v>
      </c>
      <c r="B38" s="8"/>
      <c r="C38" s="6">
        <v>2.5600000000000001E-2</v>
      </c>
      <c r="D38" s="6"/>
      <c r="E38" s="5">
        <v>10063161.25</v>
      </c>
      <c r="F38" s="45"/>
      <c r="G38" s="5">
        <v>12971900</v>
      </c>
      <c r="H38" s="45"/>
      <c r="I38" s="5">
        <v>4211838.75</v>
      </c>
      <c r="J38" s="45"/>
      <c r="K38" s="5"/>
      <c r="L38" s="45"/>
      <c r="M38" s="5">
        <f t="shared" si="0"/>
        <v>27246900</v>
      </c>
      <c r="N38" s="4"/>
      <c r="O38" s="5"/>
      <c r="P38" s="5"/>
      <c r="Q38" s="5"/>
      <c r="R38" s="5"/>
      <c r="T38" s="5"/>
      <c r="U38" s="5"/>
      <c r="V38" s="5"/>
      <c r="W38" s="5"/>
    </row>
    <row r="39" spans="1:23" ht="13.8" x14ac:dyDescent="0.25">
      <c r="A39" s="8">
        <v>49841</v>
      </c>
      <c r="B39" s="8"/>
      <c r="C39" s="6">
        <v>2.5999999999999999E-2</v>
      </c>
      <c r="D39" s="6"/>
      <c r="E39" s="5">
        <v>10070491.5</v>
      </c>
      <c r="F39" s="45"/>
      <c r="G39" s="5">
        <v>12971900</v>
      </c>
      <c r="H39" s="45"/>
      <c r="I39" s="5">
        <v>4479508.5</v>
      </c>
      <c r="J39" s="45"/>
      <c r="K39" s="5"/>
      <c r="L39" s="45"/>
      <c r="M39" s="5">
        <f t="shared" si="0"/>
        <v>27521900</v>
      </c>
      <c r="N39" s="5"/>
      <c r="O39" s="5"/>
      <c r="P39" s="5"/>
      <c r="Q39" s="5"/>
      <c r="R39" s="5"/>
      <c r="T39" s="5"/>
      <c r="U39" s="5"/>
      <c r="V39" s="5"/>
      <c r="W39" s="5"/>
    </row>
    <row r="40" spans="1:23" ht="13.8" x14ac:dyDescent="0.25">
      <c r="A40" s="8">
        <v>50024</v>
      </c>
      <c r="B40" s="8"/>
      <c r="C40" s="6">
        <v>2.6100000000000002E-2</v>
      </c>
      <c r="D40" s="6"/>
      <c r="E40" s="5">
        <v>9746084.0999999996</v>
      </c>
      <c r="F40" s="45"/>
      <c r="G40" s="5">
        <v>12971900</v>
      </c>
      <c r="H40" s="45"/>
      <c r="I40" s="5">
        <v>4538915.9000000004</v>
      </c>
      <c r="J40" s="45"/>
      <c r="K40" s="5"/>
      <c r="L40" s="45"/>
      <c r="M40" s="5">
        <f t="shared" si="0"/>
        <v>27256900</v>
      </c>
      <c r="N40" s="4"/>
      <c r="O40" s="5"/>
      <c r="P40" s="5"/>
      <c r="Q40" s="5"/>
      <c r="R40" s="5"/>
      <c r="T40" s="5"/>
      <c r="U40" s="5"/>
      <c r="V40" s="5"/>
      <c r="W40" s="5"/>
    </row>
    <row r="41" spans="1:23" ht="13.8" x14ac:dyDescent="0.25">
      <c r="A41" s="8">
        <v>50206</v>
      </c>
      <c r="B41" s="8"/>
      <c r="C41" s="6">
        <v>2.64E-2</v>
      </c>
      <c r="D41" s="6"/>
      <c r="E41" s="5">
        <v>9744845.4000000004</v>
      </c>
      <c r="F41" s="45"/>
      <c r="G41" s="5">
        <v>12971900</v>
      </c>
      <c r="H41" s="45"/>
      <c r="I41" s="5">
        <v>4790154.5999999996</v>
      </c>
      <c r="J41" s="45"/>
      <c r="K41" s="5"/>
      <c r="L41" s="45"/>
      <c r="M41" s="5">
        <f t="shared" si="0"/>
        <v>27506900</v>
      </c>
      <c r="N41" s="5"/>
      <c r="O41" s="5"/>
      <c r="P41" s="5"/>
      <c r="Q41" s="5"/>
      <c r="R41" s="5"/>
      <c r="T41" s="5"/>
      <c r="U41" s="5"/>
      <c r="V41" s="5"/>
      <c r="W41" s="5"/>
    </row>
    <row r="42" spans="1:23" ht="13.8" x14ac:dyDescent="0.25">
      <c r="A42" s="8">
        <v>50389</v>
      </c>
      <c r="B42" s="8"/>
      <c r="C42" s="6">
        <v>2.6499999999999999E-2</v>
      </c>
      <c r="D42" s="6"/>
      <c r="E42" s="5">
        <v>9434367.5999999996</v>
      </c>
      <c r="F42" s="45"/>
      <c r="G42" s="5">
        <v>12971900</v>
      </c>
      <c r="H42" s="45"/>
      <c r="I42" s="5">
        <v>4845632.4000000004</v>
      </c>
      <c r="J42" s="45"/>
      <c r="K42" s="5"/>
      <c r="L42" s="45"/>
      <c r="M42" s="5">
        <f t="shared" si="0"/>
        <v>27251900</v>
      </c>
      <c r="N42" s="4"/>
      <c r="O42" s="5"/>
      <c r="P42" s="5"/>
      <c r="Q42" s="5"/>
      <c r="R42" s="5"/>
      <c r="T42" s="5"/>
      <c r="U42" s="5"/>
      <c r="V42" s="5"/>
      <c r="W42" s="5"/>
    </row>
    <row r="43" spans="1:23" ht="13.8" x14ac:dyDescent="0.25">
      <c r="A43" s="8">
        <v>50571</v>
      </c>
      <c r="B43" s="8"/>
      <c r="C43" s="6">
        <v>2.6800000000000001E-2</v>
      </c>
      <c r="D43" s="6"/>
      <c r="E43" s="5">
        <v>9435151.4000000004</v>
      </c>
      <c r="F43" s="45"/>
      <c r="G43" s="5">
        <v>12971900</v>
      </c>
      <c r="H43" s="45"/>
      <c r="I43" s="5">
        <v>5104848.5999999996</v>
      </c>
      <c r="J43" s="45"/>
      <c r="K43" s="5"/>
      <c r="L43" s="45"/>
      <c r="M43" s="5">
        <f t="shared" si="0"/>
        <v>27511900</v>
      </c>
      <c r="N43" s="5"/>
      <c r="O43" s="5"/>
      <c r="P43" s="5"/>
      <c r="Q43" s="5"/>
      <c r="R43" s="5"/>
      <c r="T43" s="5"/>
      <c r="U43" s="5"/>
      <c r="V43" s="5"/>
      <c r="W43" s="5"/>
    </row>
    <row r="44" spans="1:23" ht="13.8" x14ac:dyDescent="0.25">
      <c r="A44" s="8">
        <v>50754</v>
      </c>
      <c r="B44" s="8"/>
      <c r="C44" s="6">
        <v>2.69E-2</v>
      </c>
      <c r="D44" s="6"/>
      <c r="E44" s="5">
        <v>9125579.25</v>
      </c>
      <c r="F44" s="45"/>
      <c r="G44" s="5">
        <v>12971900</v>
      </c>
      <c r="H44" s="45"/>
      <c r="I44" s="5">
        <v>5149420.75</v>
      </c>
      <c r="J44" s="45"/>
      <c r="K44" s="5"/>
      <c r="L44" s="45"/>
      <c r="M44" s="5">
        <f t="shared" si="0"/>
        <v>27246900</v>
      </c>
      <c r="N44" s="4"/>
      <c r="O44" s="5"/>
      <c r="P44" s="5"/>
      <c r="Q44" s="5"/>
      <c r="R44" s="5"/>
      <c r="T44" s="5"/>
      <c r="U44" s="5"/>
      <c r="V44" s="5"/>
      <c r="W44" s="5"/>
    </row>
    <row r="45" spans="1:23" ht="13.8" x14ac:dyDescent="0.25">
      <c r="A45" s="8">
        <v>50936</v>
      </c>
      <c r="B45" s="8"/>
      <c r="C45" s="6">
        <v>2.7199999999999998E-2</v>
      </c>
      <c r="D45" s="6"/>
      <c r="E45" s="5">
        <v>9128005.6500000004</v>
      </c>
      <c r="F45" s="45"/>
      <c r="G45" s="5">
        <v>12971900</v>
      </c>
      <c r="H45" s="45"/>
      <c r="I45" s="5">
        <v>5416994.3499999996</v>
      </c>
      <c r="J45" s="45"/>
      <c r="K45" s="5"/>
      <c r="L45" s="45"/>
      <c r="M45" s="5">
        <f t="shared" si="0"/>
        <v>27516900</v>
      </c>
      <c r="N45" s="5"/>
      <c r="O45" s="5"/>
      <c r="P45" s="5"/>
      <c r="Q45" s="5"/>
      <c r="R45" s="5"/>
      <c r="T45" s="5"/>
      <c r="U45" s="5"/>
      <c r="V45" s="5"/>
      <c r="W45" s="5"/>
    </row>
    <row r="46" spans="1:23" ht="13.8" x14ac:dyDescent="0.25">
      <c r="A46" s="8">
        <v>51119</v>
      </c>
      <c r="B46" s="8"/>
      <c r="C46" s="6">
        <v>2.7300000000000001E-2</v>
      </c>
      <c r="D46" s="6"/>
      <c r="E46" s="5">
        <v>8813678.1999999993</v>
      </c>
      <c r="F46" s="45"/>
      <c r="G46" s="5">
        <v>12971900</v>
      </c>
      <c r="H46" s="45"/>
      <c r="I46" s="5">
        <v>5446321.7999999998</v>
      </c>
      <c r="J46" s="45"/>
      <c r="K46" s="5"/>
      <c r="L46" s="45"/>
      <c r="M46" s="5">
        <f t="shared" si="0"/>
        <v>27231900</v>
      </c>
      <c r="N46" s="4"/>
      <c r="O46" s="5"/>
      <c r="P46" s="5"/>
      <c r="Q46" s="5"/>
      <c r="R46" s="5"/>
      <c r="T46" s="5"/>
      <c r="U46" s="5"/>
      <c r="V46" s="5"/>
      <c r="W46" s="5"/>
    </row>
    <row r="47" spans="1:23" ht="13.8" x14ac:dyDescent="0.25">
      <c r="A47" s="8">
        <f>EDATE(A46,6)</f>
        <v>51302</v>
      </c>
      <c r="B47" s="8"/>
      <c r="C47" s="6">
        <v>2.7699999999999999E-2</v>
      </c>
      <c r="D47" s="6"/>
      <c r="E47" s="5">
        <v>8814187.1999999993</v>
      </c>
      <c r="F47" s="45"/>
      <c r="G47" s="5">
        <v>12971900</v>
      </c>
      <c r="H47" s="45"/>
      <c r="I47" s="5">
        <v>5745812.7999999998</v>
      </c>
      <c r="J47" s="45"/>
      <c r="K47" s="5"/>
      <c r="L47" s="45"/>
      <c r="M47" s="5">
        <f t="shared" si="0"/>
        <v>27531900</v>
      </c>
      <c r="N47" s="4"/>
      <c r="O47" s="5"/>
      <c r="P47" s="5"/>
      <c r="Q47" s="5"/>
      <c r="R47" s="5"/>
      <c r="T47" s="5"/>
      <c r="U47" s="5"/>
      <c r="V47" s="5"/>
      <c r="W47" s="5"/>
    </row>
    <row r="48" spans="1:23" ht="13.8" x14ac:dyDescent="0.25">
      <c r="A48" s="8">
        <f t="shared" ref="A48:A71" si="1">EDATE(A47,6)</f>
        <v>51485</v>
      </c>
      <c r="B48" s="8"/>
      <c r="C48" s="6">
        <v>2.7799999999999998E-2</v>
      </c>
      <c r="D48" s="6"/>
      <c r="E48" s="5">
        <v>8504920</v>
      </c>
      <c r="F48" s="45"/>
      <c r="G48" s="5">
        <v>12971900</v>
      </c>
      <c r="H48" s="45"/>
      <c r="I48" s="5">
        <v>5765080</v>
      </c>
      <c r="J48" s="45"/>
      <c r="K48" s="5"/>
      <c r="L48" s="45"/>
      <c r="M48" s="5">
        <f t="shared" si="0"/>
        <v>27241900</v>
      </c>
      <c r="N48" s="4"/>
      <c r="O48" s="5"/>
      <c r="P48" s="5"/>
      <c r="Q48" s="5"/>
      <c r="R48" s="5"/>
      <c r="T48" s="5"/>
      <c r="U48" s="5"/>
      <c r="V48" s="5"/>
      <c r="W48" s="5"/>
    </row>
    <row r="49" spans="1:23" ht="13.8" x14ac:dyDescent="0.25">
      <c r="A49" s="8">
        <f t="shared" si="1"/>
        <v>51667</v>
      </c>
      <c r="B49" s="8"/>
      <c r="C49" s="6">
        <v>2.81E-2</v>
      </c>
      <c r="D49" s="6"/>
      <c r="E49" s="5">
        <v>8504329.5</v>
      </c>
      <c r="F49" s="45"/>
      <c r="G49" s="5">
        <v>12971900</v>
      </c>
      <c r="H49" s="45"/>
      <c r="I49" s="5">
        <v>6045670.5</v>
      </c>
      <c r="J49" s="45"/>
      <c r="K49" s="5"/>
      <c r="L49" s="45"/>
      <c r="M49" s="5">
        <f t="shared" si="0"/>
        <v>27521900</v>
      </c>
      <c r="N49" s="4"/>
      <c r="O49" s="5"/>
      <c r="P49" s="5"/>
      <c r="Q49" s="5"/>
      <c r="R49" s="5"/>
      <c r="T49" s="5"/>
      <c r="U49" s="5"/>
      <c r="V49" s="5"/>
      <c r="W49" s="5"/>
    </row>
    <row r="50" spans="1:23" ht="13.8" x14ac:dyDescent="0.25">
      <c r="A50" s="8">
        <f t="shared" si="1"/>
        <v>51850</v>
      </c>
      <c r="B50" s="8"/>
      <c r="C50" s="6" t="s">
        <v>132</v>
      </c>
      <c r="D50" s="6"/>
      <c r="E50" s="5">
        <v>132919045.59999999</v>
      </c>
      <c r="F50" s="45"/>
      <c r="G50" s="5">
        <v>12971900</v>
      </c>
      <c r="H50" s="45"/>
      <c r="I50" s="5">
        <v>4790954.4000000004</v>
      </c>
      <c r="J50" s="45"/>
      <c r="K50" s="5"/>
      <c r="L50" s="45"/>
      <c r="M50" s="5">
        <f t="shared" si="0"/>
        <v>150681900</v>
      </c>
      <c r="N50" s="4"/>
      <c r="O50" s="5"/>
      <c r="P50" s="5"/>
      <c r="Q50" s="5"/>
      <c r="R50" s="5"/>
      <c r="T50" s="5"/>
      <c r="U50" s="5"/>
      <c r="V50" s="5"/>
      <c r="W50" s="5"/>
    </row>
    <row r="51" spans="1:23" ht="13.8" x14ac:dyDescent="0.25">
      <c r="A51" s="8">
        <f t="shared" si="1"/>
        <v>52032</v>
      </c>
      <c r="B51" s="8"/>
      <c r="C51" s="6">
        <v>0.04</v>
      </c>
      <c r="D51" s="6"/>
      <c r="E51" s="5">
        <v>44350000</v>
      </c>
      <c r="F51" s="45"/>
      <c r="G51" s="5">
        <v>10443300</v>
      </c>
      <c r="H51" s="45"/>
      <c r="I51" s="5"/>
      <c r="J51" s="45"/>
      <c r="K51" s="5"/>
      <c r="L51" s="45"/>
      <c r="M51" s="5">
        <f t="shared" si="0"/>
        <v>54793300</v>
      </c>
      <c r="N51" s="4"/>
      <c r="O51" s="5"/>
      <c r="P51" s="5"/>
      <c r="Q51" s="5"/>
      <c r="R51" s="5"/>
      <c r="T51" s="5"/>
      <c r="U51" s="5"/>
      <c r="V51" s="5"/>
      <c r="W51" s="5"/>
    </row>
    <row r="52" spans="1:23" ht="13.8" x14ac:dyDescent="0.25">
      <c r="A52" s="8">
        <f t="shared" si="1"/>
        <v>52215</v>
      </c>
      <c r="B52" s="8"/>
      <c r="C52" s="6">
        <v>0.04</v>
      </c>
      <c r="D52" s="6"/>
      <c r="E52" s="5">
        <v>27910000</v>
      </c>
      <c r="F52" s="45"/>
      <c r="G52" s="5">
        <v>9556300</v>
      </c>
      <c r="H52" s="45"/>
      <c r="I52" s="5"/>
      <c r="J52" s="45"/>
      <c r="K52" s="5"/>
      <c r="L52" s="45"/>
      <c r="M52" s="5">
        <f t="shared" si="0"/>
        <v>37466300</v>
      </c>
      <c r="N52" s="4"/>
      <c r="O52" s="5"/>
      <c r="P52" s="5"/>
      <c r="Q52" s="5"/>
      <c r="R52" s="5"/>
      <c r="T52" s="5"/>
      <c r="U52" s="5"/>
      <c r="V52" s="5"/>
      <c r="W52" s="5"/>
    </row>
    <row r="53" spans="1:23" ht="13.8" x14ac:dyDescent="0.25">
      <c r="A53" s="8">
        <f t="shared" si="1"/>
        <v>52397</v>
      </c>
      <c r="B53" s="8"/>
      <c r="C53" s="6"/>
      <c r="D53" s="6"/>
      <c r="E53" s="5"/>
      <c r="F53" s="45"/>
      <c r="G53" s="5">
        <v>8998100</v>
      </c>
      <c r="H53" s="45"/>
      <c r="I53" s="5"/>
      <c r="J53" s="45"/>
      <c r="K53" s="5"/>
      <c r="L53" s="45"/>
      <c r="M53" s="5">
        <f t="shared" si="0"/>
        <v>8998100</v>
      </c>
      <c r="N53" s="4"/>
      <c r="O53" s="5"/>
      <c r="P53" s="5"/>
      <c r="Q53" s="5"/>
      <c r="R53" s="5"/>
      <c r="T53" s="5"/>
      <c r="U53" s="5"/>
      <c r="V53" s="5"/>
      <c r="W53" s="5"/>
    </row>
    <row r="54" spans="1:23" ht="13.8" x14ac:dyDescent="0.25">
      <c r="A54" s="8">
        <f t="shared" si="1"/>
        <v>52580</v>
      </c>
      <c r="B54" s="8"/>
      <c r="C54" s="6">
        <v>0.04</v>
      </c>
      <c r="D54" s="6"/>
      <c r="E54" s="5">
        <v>29050000</v>
      </c>
      <c r="F54" s="45"/>
      <c r="G54" s="5">
        <v>8998100</v>
      </c>
      <c r="H54" s="45"/>
      <c r="I54" s="5"/>
      <c r="J54" s="45"/>
      <c r="K54" s="5"/>
      <c r="L54" s="45"/>
      <c r="M54" s="5">
        <f t="shared" si="0"/>
        <v>38048100</v>
      </c>
      <c r="N54" s="4"/>
      <c r="O54" s="5"/>
      <c r="P54" s="5"/>
      <c r="Q54" s="5"/>
      <c r="R54" s="5"/>
      <c r="T54" s="5"/>
      <c r="U54" s="5"/>
      <c r="V54" s="5"/>
      <c r="W54" s="5"/>
    </row>
    <row r="55" spans="1:23" ht="13.8" x14ac:dyDescent="0.25">
      <c r="A55" s="8">
        <f t="shared" si="1"/>
        <v>52763</v>
      </c>
      <c r="B55" s="8"/>
      <c r="C55" s="6"/>
      <c r="D55" s="6"/>
      <c r="E55" s="5"/>
      <c r="F55" s="45"/>
      <c r="G55" s="5">
        <v>8417100</v>
      </c>
      <c r="H55" s="45"/>
      <c r="I55" s="5"/>
      <c r="J55" s="45"/>
      <c r="K55" s="5"/>
      <c r="L55" s="45"/>
      <c r="M55" s="5">
        <f t="shared" si="0"/>
        <v>8417100</v>
      </c>
      <c r="N55" s="4"/>
      <c r="O55" s="5"/>
      <c r="P55" s="5"/>
      <c r="Q55" s="5"/>
      <c r="R55" s="5"/>
      <c r="T55" s="5"/>
      <c r="U55" s="5"/>
      <c r="V55" s="5"/>
      <c r="W55" s="5"/>
    </row>
    <row r="56" spans="1:23" ht="13.8" x14ac:dyDescent="0.25">
      <c r="A56" s="8">
        <f t="shared" si="1"/>
        <v>52946</v>
      </c>
      <c r="B56" s="8"/>
      <c r="C56" s="6">
        <v>0.04</v>
      </c>
      <c r="D56" s="6"/>
      <c r="E56" s="5">
        <v>30235000</v>
      </c>
      <c r="F56" s="45"/>
      <c r="G56" s="5">
        <v>8417100</v>
      </c>
      <c r="H56" s="45"/>
      <c r="I56" s="5"/>
      <c r="J56" s="45"/>
      <c r="K56" s="5"/>
      <c r="L56" s="45"/>
      <c r="M56" s="5">
        <f t="shared" si="0"/>
        <v>38652100</v>
      </c>
      <c r="N56" s="4"/>
      <c r="O56" s="5"/>
      <c r="P56" s="5"/>
      <c r="Q56" s="5"/>
      <c r="R56" s="5"/>
      <c r="T56" s="5"/>
      <c r="U56" s="5"/>
      <c r="V56" s="5"/>
      <c r="W56" s="5"/>
    </row>
    <row r="57" spans="1:23" ht="13.8" x14ac:dyDescent="0.25">
      <c r="A57" s="8">
        <f t="shared" si="1"/>
        <v>53128</v>
      </c>
      <c r="B57" s="8"/>
      <c r="C57" s="6"/>
      <c r="D57" s="6"/>
      <c r="E57" s="5"/>
      <c r="F57" s="45"/>
      <c r="G57" s="5">
        <v>7812400</v>
      </c>
      <c r="H57" s="45"/>
      <c r="I57" s="5"/>
      <c r="J57" s="45"/>
      <c r="K57" s="5"/>
      <c r="L57" s="45"/>
      <c r="M57" s="5">
        <f t="shared" si="0"/>
        <v>7812400</v>
      </c>
      <c r="N57" s="4"/>
      <c r="O57" s="5"/>
      <c r="P57" s="5"/>
      <c r="Q57" s="5"/>
      <c r="R57" s="5"/>
      <c r="T57" s="5"/>
      <c r="U57" s="5"/>
      <c r="V57" s="5"/>
      <c r="W57" s="5"/>
    </row>
    <row r="58" spans="1:23" ht="13.8" x14ac:dyDescent="0.25">
      <c r="A58" s="8">
        <f t="shared" si="1"/>
        <v>53311</v>
      </c>
      <c r="B58" s="8"/>
      <c r="C58" s="6">
        <v>0.04</v>
      </c>
      <c r="D58" s="6"/>
      <c r="E58" s="5">
        <v>31470000</v>
      </c>
      <c r="F58" s="45"/>
      <c r="G58" s="5">
        <v>7812400</v>
      </c>
      <c r="H58" s="45"/>
      <c r="I58" s="5"/>
      <c r="J58" s="45"/>
      <c r="K58" s="5"/>
      <c r="L58" s="45"/>
      <c r="M58" s="5">
        <f t="shared" si="0"/>
        <v>39282400</v>
      </c>
      <c r="N58" s="4"/>
      <c r="O58" s="5"/>
      <c r="P58" s="5"/>
      <c r="Q58" s="5"/>
      <c r="R58" s="5"/>
      <c r="T58" s="5"/>
      <c r="U58" s="5"/>
      <c r="V58" s="5"/>
      <c r="W58" s="5"/>
    </row>
    <row r="59" spans="1:23" ht="13.8" x14ac:dyDescent="0.25">
      <c r="A59" s="8">
        <f t="shared" si="1"/>
        <v>53493</v>
      </c>
      <c r="B59" s="8"/>
      <c r="C59" s="6"/>
      <c r="D59" s="6"/>
      <c r="E59" s="5"/>
      <c r="F59" s="45"/>
      <c r="G59" s="5">
        <v>7183000</v>
      </c>
      <c r="H59" s="45"/>
      <c r="I59" s="5"/>
      <c r="J59" s="45"/>
      <c r="K59" s="5"/>
      <c r="L59" s="45"/>
      <c r="M59" s="5">
        <f t="shared" si="0"/>
        <v>7183000</v>
      </c>
      <c r="N59" s="4"/>
      <c r="O59" s="5"/>
      <c r="P59" s="5"/>
      <c r="Q59" s="5"/>
      <c r="R59" s="5"/>
      <c r="T59" s="5"/>
      <c r="U59" s="5"/>
      <c r="V59" s="5"/>
      <c r="W59" s="5"/>
    </row>
    <row r="60" spans="1:23" ht="13.8" x14ac:dyDescent="0.25">
      <c r="A60" s="8">
        <f t="shared" si="1"/>
        <v>53676</v>
      </c>
      <c r="B60" s="8"/>
      <c r="C60" s="6">
        <v>0.04</v>
      </c>
      <c r="D60" s="6"/>
      <c r="E60" s="5">
        <v>32755000</v>
      </c>
      <c r="F60" s="45"/>
      <c r="G60" s="5">
        <v>7183000</v>
      </c>
      <c r="H60" s="45"/>
      <c r="I60" s="5"/>
      <c r="J60" s="45"/>
      <c r="K60" s="5"/>
      <c r="L60" s="45"/>
      <c r="M60" s="5">
        <f t="shared" si="0"/>
        <v>39938000</v>
      </c>
      <c r="N60" s="4"/>
      <c r="O60" s="5"/>
      <c r="P60" s="5"/>
      <c r="Q60" s="5"/>
      <c r="R60" s="5"/>
      <c r="T60" s="5"/>
      <c r="U60" s="5"/>
      <c r="V60" s="5"/>
      <c r="W60" s="5"/>
    </row>
    <row r="61" spans="1:23" ht="13.8" x14ac:dyDescent="0.25">
      <c r="A61" s="8">
        <f t="shared" si="1"/>
        <v>53858</v>
      </c>
      <c r="B61" s="8"/>
      <c r="C61" s="6"/>
      <c r="D61" s="6"/>
      <c r="E61" s="5"/>
      <c r="F61" s="45"/>
      <c r="G61" s="5">
        <v>6527900</v>
      </c>
      <c r="H61" s="45"/>
      <c r="I61" s="5"/>
      <c r="J61" s="45"/>
      <c r="K61" s="5"/>
      <c r="L61" s="45"/>
      <c r="M61" s="5">
        <f t="shared" si="0"/>
        <v>6527900</v>
      </c>
      <c r="N61" s="4"/>
      <c r="O61" s="5"/>
      <c r="P61" s="5"/>
      <c r="Q61" s="5"/>
      <c r="R61" s="5"/>
      <c r="T61" s="5"/>
      <c r="U61" s="5"/>
      <c r="V61" s="5"/>
      <c r="W61" s="5"/>
    </row>
    <row r="62" spans="1:23" ht="13.8" x14ac:dyDescent="0.25">
      <c r="A62" s="8">
        <f t="shared" si="1"/>
        <v>54041</v>
      </c>
      <c r="B62" s="8"/>
      <c r="C62" s="6">
        <v>0.04</v>
      </c>
      <c r="D62" s="6"/>
      <c r="E62" s="5">
        <v>24015000</v>
      </c>
      <c r="F62" s="45"/>
      <c r="G62" s="5">
        <v>6527900</v>
      </c>
      <c r="H62" s="45"/>
      <c r="I62" s="5"/>
      <c r="J62" s="45"/>
      <c r="K62" s="5"/>
      <c r="L62" s="45"/>
      <c r="M62" s="5">
        <f t="shared" si="0"/>
        <v>30542900</v>
      </c>
      <c r="N62" s="4"/>
      <c r="O62" s="5"/>
      <c r="P62" s="5"/>
      <c r="Q62" s="5"/>
      <c r="R62" s="5"/>
      <c r="T62" s="5"/>
      <c r="U62" s="5"/>
      <c r="V62" s="5"/>
      <c r="W62" s="5"/>
    </row>
    <row r="63" spans="1:23" ht="13.8" x14ac:dyDescent="0.25">
      <c r="A63" s="8">
        <f t="shared" si="1"/>
        <v>54224</v>
      </c>
      <c r="B63" s="8"/>
      <c r="C63" s="6">
        <v>0.04</v>
      </c>
      <c r="D63" s="6"/>
      <c r="E63" s="5">
        <v>9875000</v>
      </c>
      <c r="F63" s="45"/>
      <c r="G63" s="5">
        <v>6047600</v>
      </c>
      <c r="H63" s="45"/>
      <c r="I63" s="5"/>
      <c r="J63" s="45"/>
      <c r="K63" s="5"/>
      <c r="L63" s="45"/>
      <c r="M63" s="5">
        <f t="shared" si="0"/>
        <v>15922600</v>
      </c>
      <c r="N63" s="4"/>
      <c r="O63" s="5"/>
      <c r="P63" s="5"/>
      <c r="Q63" s="5"/>
      <c r="R63" s="5"/>
      <c r="T63" s="5"/>
      <c r="U63" s="5"/>
      <c r="V63" s="5"/>
      <c r="W63" s="5"/>
    </row>
    <row r="64" spans="1:23" ht="13.8" x14ac:dyDescent="0.25">
      <c r="A64" s="8">
        <f t="shared" si="1"/>
        <v>54407</v>
      </c>
      <c r="B64" s="8"/>
      <c r="C64" s="6">
        <v>0.04</v>
      </c>
      <c r="D64" s="6"/>
      <c r="E64" s="5">
        <v>24595000</v>
      </c>
      <c r="F64" s="45"/>
      <c r="G64" s="5">
        <v>5850100</v>
      </c>
      <c r="H64" s="45"/>
      <c r="I64" s="5"/>
      <c r="J64" s="45"/>
      <c r="K64" s="5"/>
      <c r="L64" s="45"/>
      <c r="M64" s="5">
        <f t="shared" si="0"/>
        <v>30445100</v>
      </c>
      <c r="N64" s="4"/>
      <c r="O64" s="5"/>
      <c r="P64" s="5"/>
      <c r="Q64" s="5"/>
      <c r="R64" s="5"/>
      <c r="T64" s="5"/>
      <c r="U64" s="5"/>
      <c r="V64" s="5"/>
      <c r="W64" s="5"/>
    </row>
    <row r="65" spans="1:23" ht="13.8" x14ac:dyDescent="0.25">
      <c r="A65" s="8">
        <f t="shared" si="1"/>
        <v>54589</v>
      </c>
      <c r="B65" s="8"/>
      <c r="C65" s="6">
        <v>0.04</v>
      </c>
      <c r="D65" s="6"/>
      <c r="E65" s="5">
        <v>10665000</v>
      </c>
      <c r="F65" s="45"/>
      <c r="G65" s="5">
        <v>5358200</v>
      </c>
      <c r="H65" s="45"/>
      <c r="I65" s="5"/>
      <c r="J65" s="45"/>
      <c r="K65" s="5"/>
      <c r="L65" s="45"/>
      <c r="M65" s="5">
        <f t="shared" si="0"/>
        <v>16023200</v>
      </c>
      <c r="N65" s="4"/>
      <c r="O65" s="5"/>
      <c r="P65" s="5"/>
      <c r="Q65" s="5"/>
      <c r="R65" s="5"/>
      <c r="T65" s="5"/>
      <c r="U65" s="5"/>
      <c r="V65" s="5"/>
      <c r="W65" s="5"/>
    </row>
    <row r="66" spans="1:23" ht="13.8" x14ac:dyDescent="0.25">
      <c r="A66" s="8">
        <f t="shared" si="1"/>
        <v>54772</v>
      </c>
      <c r="B66" s="8"/>
      <c r="C66" s="6">
        <v>0.04</v>
      </c>
      <c r="D66" s="6"/>
      <c r="E66" s="5">
        <v>24710000</v>
      </c>
      <c r="F66" s="45"/>
      <c r="G66" s="5">
        <v>5144900</v>
      </c>
      <c r="H66" s="45"/>
      <c r="I66" s="5"/>
      <c r="J66" s="45"/>
      <c r="K66" s="5"/>
      <c r="L66" s="45"/>
      <c r="M66" s="5">
        <f t="shared" si="0"/>
        <v>29854900</v>
      </c>
      <c r="N66" s="4"/>
      <c r="O66" s="5"/>
      <c r="P66" s="5"/>
      <c r="Q66" s="5"/>
      <c r="R66" s="5"/>
      <c r="T66" s="5"/>
      <c r="U66" s="5"/>
      <c r="V66" s="5"/>
      <c r="W66" s="5"/>
    </row>
    <row r="67" spans="1:23" ht="13.8" x14ac:dyDescent="0.25">
      <c r="A67" s="8">
        <f t="shared" si="1"/>
        <v>54954</v>
      </c>
      <c r="B67" s="8"/>
      <c r="C67" s="6">
        <v>0.04</v>
      </c>
      <c r="D67" s="6"/>
      <c r="E67" s="5">
        <v>11960000</v>
      </c>
      <c r="F67" s="45"/>
      <c r="G67" s="5">
        <v>4650700</v>
      </c>
      <c r="H67" s="45"/>
      <c r="I67" s="5"/>
      <c r="J67" s="45"/>
      <c r="K67" s="5"/>
      <c r="L67" s="45"/>
      <c r="M67" s="5">
        <f t="shared" si="0"/>
        <v>16610700</v>
      </c>
      <c r="N67" s="5"/>
      <c r="O67" s="5"/>
      <c r="P67" s="5"/>
      <c r="Q67" s="5"/>
      <c r="R67" s="5"/>
      <c r="T67" s="5"/>
      <c r="U67" s="5"/>
      <c r="V67" s="5"/>
      <c r="W67" s="5"/>
    </row>
    <row r="68" spans="1:23" ht="13.8" x14ac:dyDescent="0.25">
      <c r="A68" s="8">
        <f t="shared" si="1"/>
        <v>55137</v>
      </c>
      <c r="B68" s="8"/>
      <c r="C68" s="6">
        <v>0.04</v>
      </c>
      <c r="D68" s="6"/>
      <c r="E68" s="5">
        <v>21525000</v>
      </c>
      <c r="F68" s="45"/>
      <c r="G68" s="5">
        <v>4411500</v>
      </c>
      <c r="H68" s="45"/>
      <c r="I68" s="5"/>
      <c r="J68" s="45"/>
      <c r="K68" s="5"/>
      <c r="L68" s="45"/>
      <c r="M68" s="5">
        <f t="shared" si="0"/>
        <v>25936500</v>
      </c>
      <c r="N68" s="5"/>
      <c r="O68" s="5"/>
      <c r="P68" s="5"/>
      <c r="Q68" s="5"/>
      <c r="R68" s="5"/>
      <c r="T68" s="5"/>
      <c r="U68" s="5"/>
      <c r="V68" s="5"/>
      <c r="W68" s="5"/>
    </row>
    <row r="69" spans="1:23" ht="13.8" x14ac:dyDescent="0.25">
      <c r="A69" s="8">
        <f t="shared" si="1"/>
        <v>55319</v>
      </c>
      <c r="B69" s="8"/>
      <c r="C69" s="6">
        <v>0.04</v>
      </c>
      <c r="D69" s="6"/>
      <c r="E69" s="5">
        <v>12930000</v>
      </c>
      <c r="F69" s="45"/>
      <c r="G69" s="5">
        <v>3981000</v>
      </c>
      <c r="H69" s="45"/>
      <c r="I69" s="5"/>
      <c r="J69" s="45"/>
      <c r="K69" s="5"/>
      <c r="L69" s="45"/>
      <c r="M69" s="5">
        <f t="shared" si="0"/>
        <v>16911000</v>
      </c>
      <c r="N69" s="5"/>
      <c r="O69" s="5"/>
      <c r="P69" s="5"/>
      <c r="Q69" s="5"/>
      <c r="R69" s="5"/>
      <c r="T69" s="5"/>
      <c r="U69" s="5"/>
      <c r="V69" s="5"/>
      <c r="W69" s="5"/>
    </row>
    <row r="70" spans="1:23" ht="13.8" x14ac:dyDescent="0.25">
      <c r="A70" s="8">
        <f t="shared" si="1"/>
        <v>55502</v>
      </c>
      <c r="B70" s="8"/>
      <c r="C70" s="6">
        <v>0.04</v>
      </c>
      <c r="D70" s="6"/>
      <c r="E70" s="5">
        <v>46890000</v>
      </c>
      <c r="F70" s="45"/>
      <c r="G70" s="5">
        <v>3722400</v>
      </c>
      <c r="H70" s="45"/>
      <c r="I70" s="5"/>
      <c r="J70" s="45"/>
      <c r="K70" s="5"/>
      <c r="L70" s="45"/>
      <c r="M70" s="5">
        <f t="shared" si="0"/>
        <v>50612400</v>
      </c>
      <c r="N70" s="5"/>
      <c r="O70" s="5"/>
      <c r="P70" s="5"/>
      <c r="Q70" s="5"/>
      <c r="R70" s="5"/>
      <c r="T70" s="5"/>
      <c r="U70" s="5"/>
      <c r="V70" s="5"/>
      <c r="W70" s="5"/>
    </row>
    <row r="71" spans="1:23" ht="13.8" x14ac:dyDescent="0.25">
      <c r="A71" s="8">
        <f t="shared" si="1"/>
        <v>55685</v>
      </c>
      <c r="B71" s="8"/>
      <c r="C71" s="6">
        <v>0.04</v>
      </c>
      <c r="D71" s="6"/>
      <c r="E71" s="5">
        <v>139230000</v>
      </c>
      <c r="F71" s="45"/>
      <c r="G71" s="5">
        <v>2784600</v>
      </c>
      <c r="H71" s="45"/>
      <c r="I71" s="5"/>
      <c r="J71" s="45"/>
      <c r="K71" s="5"/>
      <c r="L71" s="45"/>
      <c r="M71" s="5">
        <f t="shared" si="0"/>
        <v>142014600</v>
      </c>
      <c r="N71" s="5"/>
      <c r="O71" s="5"/>
      <c r="P71" s="5"/>
      <c r="Q71" s="5"/>
      <c r="R71" s="5"/>
      <c r="T71" s="5"/>
      <c r="U71" s="5"/>
      <c r="V71" s="5"/>
      <c r="W71" s="5"/>
    </row>
    <row r="72" spans="1:23" ht="13.8" x14ac:dyDescent="0.25">
      <c r="A72" s="8"/>
      <c r="B72" s="8"/>
      <c r="C72" s="8"/>
      <c r="D72" s="8"/>
      <c r="E72" s="44"/>
      <c r="F72" s="43"/>
      <c r="G72" s="44"/>
      <c r="H72" s="43"/>
      <c r="I72" s="44"/>
      <c r="J72" s="43"/>
      <c r="K72" s="44"/>
      <c r="L72" s="43"/>
      <c r="M72" s="44"/>
      <c r="N72" s="4"/>
      <c r="O72" s="43"/>
      <c r="P72" s="43"/>
      <c r="Q72" s="43"/>
      <c r="R72" s="43"/>
      <c r="T72" s="43"/>
      <c r="U72" s="43"/>
      <c r="V72" s="43"/>
      <c r="W72" s="43"/>
    </row>
    <row r="73" spans="1:23" ht="14.4" thickBot="1" x14ac:dyDescent="0.3">
      <c r="A73" s="8"/>
      <c r="B73" s="8"/>
      <c r="C73" s="8" t="s">
        <v>36</v>
      </c>
      <c r="D73" s="8"/>
      <c r="E73" s="49">
        <f>SUM(E10:E72)</f>
        <v>811248846.64999998</v>
      </c>
      <c r="F73" s="43"/>
      <c r="G73" s="49">
        <f>SUM(G10:G72)</f>
        <v>655713604.44000006</v>
      </c>
      <c r="H73" s="43"/>
      <c r="I73" s="49">
        <f>SUM(I10:I72)</f>
        <v>66331153.349999994</v>
      </c>
      <c r="J73" s="43"/>
      <c r="K73" s="49">
        <f>SUM(K10:K72)</f>
        <v>-18736955.609999999</v>
      </c>
      <c r="L73" s="43"/>
      <c r="M73" s="49">
        <f>SUM(M10:M72)</f>
        <v>1514556648.8299999</v>
      </c>
      <c r="N73" s="4"/>
      <c r="O73" s="5"/>
      <c r="P73" s="5"/>
      <c r="Q73" s="5"/>
      <c r="R73" s="5"/>
      <c r="T73" s="5"/>
      <c r="U73" s="5"/>
      <c r="V73" s="5"/>
      <c r="W73" s="5"/>
    </row>
    <row r="74" spans="1:23" ht="14.4" thickTop="1" x14ac:dyDescent="0.25">
      <c r="A74" s="8"/>
      <c r="B74" s="8"/>
      <c r="C74" s="8"/>
      <c r="D74" s="8"/>
      <c r="E74" s="43"/>
      <c r="F74" s="43"/>
      <c r="G74" s="43"/>
      <c r="H74" s="43"/>
      <c r="I74" s="43"/>
      <c r="J74" s="43"/>
      <c r="K74" s="43"/>
      <c r="L74" s="43"/>
      <c r="M74" s="43"/>
      <c r="N74" s="4"/>
      <c r="O74" s="43"/>
      <c r="P74" s="43"/>
      <c r="Q74" s="43"/>
      <c r="R74" s="43"/>
      <c r="T74" s="43"/>
      <c r="U74" s="43"/>
      <c r="V74" s="43"/>
      <c r="W74" s="43"/>
    </row>
    <row r="75" spans="1:23" ht="15.6" x14ac:dyDescent="0.4">
      <c r="A75" s="8"/>
      <c r="B75" s="8"/>
      <c r="C75" s="8" t="s">
        <v>133</v>
      </c>
      <c r="D75" s="8"/>
      <c r="E75" s="45"/>
      <c r="F75" s="45"/>
      <c r="G75" s="45"/>
      <c r="H75" s="45"/>
      <c r="I75" s="45"/>
      <c r="J75" s="45"/>
      <c r="K75" s="45"/>
      <c r="L75" s="45"/>
      <c r="M75" s="205">
        <f>M73-K73</f>
        <v>1533293604.4399998</v>
      </c>
      <c r="N75" s="4"/>
      <c r="O75" s="43"/>
      <c r="P75" s="43"/>
      <c r="Q75" s="43"/>
      <c r="R75" s="43"/>
      <c r="T75" s="43"/>
      <c r="U75" s="43"/>
      <c r="V75" s="43"/>
      <c r="W75" s="43"/>
    </row>
    <row r="76" spans="1:23" ht="13.8" x14ac:dyDescent="0.25">
      <c r="A76" s="233">
        <f ca="1">NOW()</f>
        <v>44691.691628009263</v>
      </c>
      <c r="B76" s="233"/>
      <c r="C76" s="233"/>
      <c r="D76" s="8"/>
      <c r="J76" s="43"/>
      <c r="K76" s="43"/>
      <c r="L76" s="43"/>
      <c r="M76" s="5"/>
      <c r="N76" s="5"/>
      <c r="O76" s="5"/>
      <c r="P76" s="5"/>
      <c r="Q76" s="5"/>
      <c r="R76" s="5"/>
      <c r="T76" s="5"/>
      <c r="U76" s="5"/>
      <c r="V76" s="5"/>
      <c r="W76" s="5"/>
    </row>
    <row r="78" spans="1:23" ht="13.8" x14ac:dyDescent="0.25">
      <c r="E78" s="45"/>
      <c r="N78" s="40"/>
    </row>
    <row r="79" spans="1:23" ht="13.8" x14ac:dyDescent="0.25">
      <c r="E79" s="45"/>
      <c r="G79" s="40"/>
      <c r="I79" s="40"/>
      <c r="M79" s="40"/>
      <c r="O79" s="40"/>
      <c r="P79" s="40"/>
      <c r="Q79" s="40"/>
      <c r="R79" s="40"/>
      <c r="T79" s="40"/>
      <c r="U79" s="40"/>
      <c r="V79" s="40"/>
      <c r="W79" s="40"/>
    </row>
    <row r="80" spans="1:23" ht="13.8" x14ac:dyDescent="0.25">
      <c r="E80" s="45"/>
    </row>
    <row r="81" spans="5:5" ht="13.8" x14ac:dyDescent="0.25">
      <c r="E81" s="45"/>
    </row>
  </sheetData>
  <mergeCells count="1">
    <mergeCell ref="A76:C76"/>
  </mergeCells>
  <printOptions horizontalCentered="1"/>
  <pageMargins left="0.7" right="0.7" top="0.75" bottom="0.75" header="0.3" footer="0.3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6" width="9.28515625" style="15"/>
    <col min="7" max="7" width="9.28515625" style="15" customWidth="1"/>
    <col min="8" max="9" width="9.28515625" style="15"/>
    <col min="10" max="10" width="10" style="15" customWidth="1"/>
    <col min="11" max="11" width="21.85546875" style="15" customWidth="1"/>
    <col min="12" max="12" width="9.28515625" style="15"/>
    <col min="13" max="13" width="14.85546875" style="15" bestFit="1" customWidth="1"/>
    <col min="14" max="16384" width="9.28515625" style="15"/>
  </cols>
  <sheetData>
    <row r="2" spans="2:12" x14ac:dyDescent="0.25">
      <c r="L2" s="103" t="e">
        <v>#VALUE!</v>
      </c>
    </row>
    <row r="3" spans="2:12" x14ac:dyDescent="0.25">
      <c r="L3" s="103" t="e">
        <v>#VALUE!</v>
      </c>
    </row>
    <row r="4" spans="2:12" x14ac:dyDescent="0.25">
      <c r="L4" s="103" t="e">
        <v>#VALUE!</v>
      </c>
    </row>
    <row r="6" spans="2:12" s="46" customFormat="1" x14ac:dyDescent="0.2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x14ac:dyDescent="0.2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25">
      <c r="B10" s="15" t="e">
        <v>#VALUE!</v>
      </c>
      <c r="C10" s="119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25">
      <c r="B14" s="15" t="e">
        <v>#VALUE!</v>
      </c>
      <c r="C14" s="15" t="e">
        <v>#VALUE!</v>
      </c>
    </row>
    <row r="15" spans="2:12" x14ac:dyDescent="0.25">
      <c r="C15" s="15" t="e">
        <v>#VALUE!</v>
      </c>
    </row>
    <row r="17" spans="3:11" x14ac:dyDescent="0.25">
      <c r="C17" s="15" t="e">
        <v>#VALUE!</v>
      </c>
      <c r="K17" s="106" t="e">
        <v>#VALUE!</v>
      </c>
    </row>
    <row r="18" spans="3:11" x14ac:dyDescent="0.25">
      <c r="K18" s="103"/>
    </row>
    <row r="19" spans="3:11" x14ac:dyDescent="0.25">
      <c r="C19" s="15" t="e">
        <v>#VALUE!</v>
      </c>
      <c r="K19" s="103" t="e">
        <v>#VALUE!</v>
      </c>
    </row>
    <row r="20" spans="3:11" x14ac:dyDescent="0.25">
      <c r="K20" s="103" t="e">
        <v>#VALUE!</v>
      </c>
    </row>
    <row r="21" spans="3:11" x14ac:dyDescent="0.25">
      <c r="K21" s="106" t="e">
        <v>#VALUE!</v>
      </c>
    </row>
    <row r="22" spans="3:11" x14ac:dyDescent="0.25">
      <c r="K22" s="103"/>
    </row>
    <row r="23" spans="3:11" x14ac:dyDescent="0.25">
      <c r="C23" s="15" t="e">
        <v>#VALUE!</v>
      </c>
      <c r="K23" s="109">
        <v>55948926.100000001</v>
      </c>
    </row>
    <row r="24" spans="3:11" x14ac:dyDescent="0.25">
      <c r="K24" s="103"/>
    </row>
    <row r="25" spans="3:11" x14ac:dyDescent="0.25">
      <c r="C25" s="15" t="e">
        <v>#VALUE!</v>
      </c>
      <c r="K25" s="103"/>
    </row>
    <row r="26" spans="3:11" x14ac:dyDescent="0.25">
      <c r="C26" s="15" t="e">
        <v>#VALUE!</v>
      </c>
      <c r="K26" s="103"/>
    </row>
    <row r="27" spans="3:11" x14ac:dyDescent="0.25">
      <c r="C27" s="15" t="e">
        <v>#VALUE!</v>
      </c>
      <c r="K27" s="103"/>
    </row>
    <row r="28" spans="3:11" x14ac:dyDescent="0.25">
      <c r="C28" s="15" t="e">
        <v>#VALUE!</v>
      </c>
      <c r="K28" s="109">
        <f>K23</f>
        <v>55948926.100000001</v>
      </c>
    </row>
    <row r="29" spans="3:11" x14ac:dyDescent="0.25">
      <c r="K29" s="103"/>
    </row>
    <row r="30" spans="3:11" x14ac:dyDescent="0.25">
      <c r="C30" s="15" t="e">
        <v>#VALUE!</v>
      </c>
      <c r="K30" s="109">
        <v>0</v>
      </c>
    </row>
    <row r="31" spans="3:11" x14ac:dyDescent="0.25">
      <c r="K31" s="103"/>
    </row>
    <row r="32" spans="3:11" x14ac:dyDescent="0.25">
      <c r="C32" s="15" t="e">
        <v>#VALUE!</v>
      </c>
      <c r="K32" s="109">
        <v>0</v>
      </c>
    </row>
    <row r="33" spans="3:13" x14ac:dyDescent="0.25">
      <c r="K33" s="103"/>
    </row>
    <row r="34" spans="3:13" x14ac:dyDescent="0.25">
      <c r="C34" s="15" t="e">
        <v>#VALUE!</v>
      </c>
      <c r="K34" s="103"/>
    </row>
    <row r="35" spans="3:13" x14ac:dyDescent="0.25">
      <c r="K35" s="103"/>
    </row>
    <row r="36" spans="3:13" x14ac:dyDescent="0.25">
      <c r="C36" s="15" t="e">
        <v>#VALUE!</v>
      </c>
      <c r="K36" s="109">
        <v>0</v>
      </c>
    </row>
    <row r="37" spans="3:13" x14ac:dyDescent="0.25">
      <c r="K37" s="103"/>
    </row>
    <row r="38" spans="3:13" x14ac:dyDescent="0.25">
      <c r="C38" s="15" t="e">
        <v>#VALUE!</v>
      </c>
      <c r="K38" s="109">
        <v>82182.929999999993</v>
      </c>
    </row>
    <row r="39" spans="3:13" x14ac:dyDescent="0.25">
      <c r="K39" s="110"/>
    </row>
    <row r="40" spans="3:13" x14ac:dyDescent="0.25">
      <c r="C40" s="15" t="e">
        <v>#VALUE!</v>
      </c>
      <c r="K40" s="109">
        <f>191429.57+2243.16</f>
        <v>193672.73</v>
      </c>
    </row>
    <row r="41" spans="3:13" x14ac:dyDescent="0.25">
      <c r="K41" s="103"/>
    </row>
    <row r="42" spans="3:13" x14ac:dyDescent="0.25">
      <c r="C42" s="15" t="e">
        <v>#VALUE!</v>
      </c>
      <c r="K42" s="103"/>
    </row>
    <row r="43" spans="3:13" x14ac:dyDescent="0.25">
      <c r="K43" s="103"/>
      <c r="M43" s="112"/>
    </row>
    <row r="44" spans="3:13" x14ac:dyDescent="0.25">
      <c r="C44" s="15" t="e">
        <v>#VALUE!</v>
      </c>
      <c r="K44" s="109">
        <f>55673070.44</f>
        <v>55673070.439999998</v>
      </c>
      <c r="M44" s="112"/>
    </row>
    <row r="45" spans="3:13" x14ac:dyDescent="0.25">
      <c r="K45" s="103"/>
    </row>
    <row r="46" spans="3:13" x14ac:dyDescent="0.25">
      <c r="C46" s="15" t="e">
        <v>#VALUE!</v>
      </c>
      <c r="K46" s="109">
        <v>0</v>
      </c>
    </row>
    <row r="47" spans="3:13" x14ac:dyDescent="0.25">
      <c r="K47" s="103"/>
    </row>
    <row r="48" spans="3:13" x14ac:dyDescent="0.25">
      <c r="C48" s="15" t="e">
        <v>#VALUE!</v>
      </c>
      <c r="K48" s="109">
        <v>0</v>
      </c>
    </row>
    <row r="49" spans="3:11" x14ac:dyDescent="0.25">
      <c r="K49" s="103"/>
    </row>
    <row r="50" spans="3:11" x14ac:dyDescent="0.25">
      <c r="C50" s="15" t="e">
        <v>#VALUE!</v>
      </c>
      <c r="K50" s="109">
        <v>0</v>
      </c>
    </row>
    <row r="51" spans="3:11" x14ac:dyDescent="0.25">
      <c r="K51" s="103"/>
    </row>
    <row r="52" spans="3:11" x14ac:dyDescent="0.25">
      <c r="C52" s="15" t="e">
        <v>#VALUE!</v>
      </c>
      <c r="K52" s="109">
        <v>0</v>
      </c>
    </row>
    <row r="53" spans="3:11" x14ac:dyDescent="0.25">
      <c r="K53" s="103"/>
    </row>
    <row r="54" spans="3:11" x14ac:dyDescent="0.25">
      <c r="C54" s="15" t="e">
        <v>#VALUE!</v>
      </c>
      <c r="K54" s="109">
        <v>0</v>
      </c>
    </row>
    <row r="55" spans="3:11" x14ac:dyDescent="0.25">
      <c r="K55" s="103"/>
    </row>
    <row r="56" spans="3:11" x14ac:dyDescent="0.25">
      <c r="C56" s="15" t="e">
        <v>#VALUE!</v>
      </c>
      <c r="K56" s="103"/>
    </row>
    <row r="57" spans="3:11" x14ac:dyDescent="0.25">
      <c r="C57" s="15" t="e">
        <v>#VALUE!</v>
      </c>
      <c r="K57" s="103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6" width="9.28515625" style="15"/>
    <col min="7" max="7" width="9.28515625" style="15" customWidth="1"/>
    <col min="8" max="8" width="9.28515625" style="15"/>
    <col min="9" max="9" width="20.85546875" style="15" customWidth="1"/>
    <col min="10" max="10" width="10" style="15" customWidth="1"/>
    <col min="11" max="11" width="21.85546875" style="15" customWidth="1"/>
    <col min="12" max="16384" width="9.28515625" style="15"/>
  </cols>
  <sheetData>
    <row r="2" spans="2:12" x14ac:dyDescent="0.25">
      <c r="I2" s="114"/>
      <c r="L2" s="103" t="e">
        <v>#VALUE!</v>
      </c>
    </row>
    <row r="3" spans="2:12" x14ac:dyDescent="0.25">
      <c r="I3" s="114"/>
      <c r="L3" s="103" t="e">
        <v>#VALUE!</v>
      </c>
    </row>
    <row r="4" spans="2:12" x14ac:dyDescent="0.25">
      <c r="I4" s="114"/>
      <c r="L4" s="103" t="e">
        <v>#VALUE!</v>
      </c>
    </row>
    <row r="6" spans="2:12" s="46" customFormat="1" x14ac:dyDescent="0.2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x14ac:dyDescent="0.2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25">
      <c r="B10" s="15" t="e">
        <v>#VALUE!</v>
      </c>
      <c r="C10" s="119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25">
      <c r="B14" s="15" t="e">
        <v>#VALUE!</v>
      </c>
      <c r="C14" s="15" t="e">
        <v>#VALUE!</v>
      </c>
    </row>
    <row r="17" spans="3:11" x14ac:dyDescent="0.25">
      <c r="I17" s="108" t="e">
        <v>#VALUE!</v>
      </c>
      <c r="J17" s="108"/>
      <c r="K17" s="108" t="e">
        <v>#VALUE!</v>
      </c>
    </row>
    <row r="19" spans="3:11" x14ac:dyDescent="0.25">
      <c r="C19" s="15" t="e">
        <v>#VALUE!</v>
      </c>
      <c r="I19" s="109">
        <v>54503402.899999999</v>
      </c>
      <c r="K19" s="103"/>
    </row>
    <row r="20" spans="3:11" x14ac:dyDescent="0.25">
      <c r="K20" s="103"/>
    </row>
    <row r="21" spans="3:11" x14ac:dyDescent="0.25">
      <c r="C21" s="15" t="e">
        <v>#VALUE!</v>
      </c>
      <c r="I21" s="109">
        <v>1032891.7916666666</v>
      </c>
      <c r="K21" s="103"/>
    </row>
    <row r="22" spans="3:11" x14ac:dyDescent="0.25">
      <c r="K22" s="103"/>
    </row>
    <row r="23" spans="3:11" x14ac:dyDescent="0.25">
      <c r="C23" s="15" t="e">
        <v>#VALUE!</v>
      </c>
      <c r="I23" s="109">
        <v>0</v>
      </c>
      <c r="K23" s="103"/>
    </row>
    <row r="24" spans="3:11" x14ac:dyDescent="0.25">
      <c r="K24" s="103"/>
    </row>
    <row r="25" spans="3:11" x14ac:dyDescent="0.25">
      <c r="C25" s="15" t="e">
        <v>#VALUE!</v>
      </c>
      <c r="I25" s="109">
        <v>0</v>
      </c>
      <c r="K25" s="103"/>
    </row>
    <row r="26" spans="3:11" x14ac:dyDescent="0.25">
      <c r="K26" s="103"/>
    </row>
    <row r="27" spans="3:11" x14ac:dyDescent="0.25">
      <c r="C27" s="15" t="e">
        <v>#VALUE!</v>
      </c>
      <c r="I27" s="109">
        <v>0</v>
      </c>
      <c r="K27" s="103"/>
    </row>
    <row r="28" spans="3:11" x14ac:dyDescent="0.25">
      <c r="K28" s="103"/>
    </row>
    <row r="29" spans="3:11" x14ac:dyDescent="0.25">
      <c r="C29" s="15" t="e">
        <v>#VALUE!</v>
      </c>
      <c r="I29" s="109">
        <v>0</v>
      </c>
      <c r="K29" s="103"/>
    </row>
    <row r="30" spans="3:11" x14ac:dyDescent="0.25">
      <c r="K30" s="103"/>
    </row>
    <row r="31" spans="3:11" x14ac:dyDescent="0.25">
      <c r="C31" s="15" t="e">
        <v>#VALUE!</v>
      </c>
      <c r="I31" s="109">
        <v>834607.98504124023</v>
      </c>
      <c r="K31" s="103"/>
    </row>
    <row r="32" spans="3:11" x14ac:dyDescent="0.25">
      <c r="I32" s="110"/>
      <c r="K32" s="103"/>
    </row>
    <row r="33" spans="3:11" x14ac:dyDescent="0.25">
      <c r="C33" s="15" t="e">
        <v>#VALUE!</v>
      </c>
      <c r="I33" s="109">
        <f>'C-31 1of3'!K38+'C-31 1of3'!K40</f>
        <v>275855.66000000003</v>
      </c>
      <c r="K33" s="103"/>
    </row>
    <row r="34" spans="3:11" x14ac:dyDescent="0.25">
      <c r="K34" s="103"/>
    </row>
    <row r="35" spans="3:11" x14ac:dyDescent="0.25">
      <c r="C35" s="15" t="e">
        <v>#VALUE!</v>
      </c>
      <c r="I35" s="109">
        <v>0</v>
      </c>
      <c r="K35" s="103"/>
    </row>
    <row r="36" spans="3:11" x14ac:dyDescent="0.25">
      <c r="K36" s="103"/>
    </row>
    <row r="37" spans="3:11" x14ac:dyDescent="0.25">
      <c r="C37" s="15" t="e">
        <v>#VALUE!</v>
      </c>
      <c r="I37" s="110"/>
      <c r="K37" s="109">
        <v>55948926.100000001</v>
      </c>
    </row>
    <row r="38" spans="3:11" x14ac:dyDescent="0.25">
      <c r="I38" s="19"/>
    </row>
    <row r="39" spans="3:11" x14ac:dyDescent="0.25">
      <c r="C39" s="15" t="e">
        <v>#VALUE!</v>
      </c>
      <c r="I39" s="110"/>
      <c r="K39" s="109">
        <v>0</v>
      </c>
    </row>
    <row r="40" spans="3:11" x14ac:dyDescent="0.25">
      <c r="I40" s="19"/>
      <c r="K40" s="103"/>
    </row>
    <row r="41" spans="3:11" x14ac:dyDescent="0.25">
      <c r="C41" s="15" t="e">
        <v>#VALUE!</v>
      </c>
      <c r="K41" s="109">
        <v>0</v>
      </c>
    </row>
    <row r="42" spans="3:11" x14ac:dyDescent="0.25">
      <c r="K42" s="103"/>
    </row>
    <row r="43" spans="3:11" x14ac:dyDescent="0.25">
      <c r="C43" s="15" t="e">
        <v>#VALUE!</v>
      </c>
      <c r="K43" s="109">
        <v>0</v>
      </c>
    </row>
    <row r="44" spans="3:11" x14ac:dyDescent="0.25">
      <c r="K44" s="103"/>
    </row>
    <row r="45" spans="3:11" x14ac:dyDescent="0.25">
      <c r="C45" s="15" t="e">
        <v>#VALUE!</v>
      </c>
      <c r="K45" s="109">
        <v>54383.94</v>
      </c>
    </row>
    <row r="46" spans="3:11" x14ac:dyDescent="0.25">
      <c r="K46" s="103"/>
    </row>
    <row r="47" spans="3:11" x14ac:dyDescent="0.25">
      <c r="C47" s="15" t="e">
        <v>#VALUE!</v>
      </c>
      <c r="K47" s="109">
        <v>0</v>
      </c>
    </row>
    <row r="48" spans="3:11" x14ac:dyDescent="0.25">
      <c r="K48" s="103"/>
    </row>
    <row r="49" spans="3:11" x14ac:dyDescent="0.25">
      <c r="C49" s="15" t="e">
        <v>#VALUE!</v>
      </c>
      <c r="K49" s="109">
        <f>SUM(I19:I33)-SUM(K37:K47)</f>
        <v>643448.29670789838</v>
      </c>
    </row>
    <row r="50" spans="3:11" x14ac:dyDescent="0.25">
      <c r="K50" s="103"/>
    </row>
    <row r="51" spans="3:11" ht="14.4" thickBot="1" x14ac:dyDescent="0.3">
      <c r="I51" s="111">
        <f>SUM(I19:I50)</f>
        <v>56646758.336707897</v>
      </c>
      <c r="K51" s="111">
        <f>SUM(K19:K50)</f>
        <v>56646758.336707897</v>
      </c>
    </row>
    <row r="52" spans="3:11" ht="14.4" thickTop="1" x14ac:dyDescent="0.25"/>
    <row r="53" spans="3:11" x14ac:dyDescent="0.25">
      <c r="I53" s="112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8" width="9.28515625" style="15"/>
    <col min="9" max="9" width="20.85546875" style="15" customWidth="1"/>
    <col min="10" max="10" width="10" style="15" customWidth="1"/>
    <col min="11" max="11" width="21.85546875" style="15" customWidth="1"/>
    <col min="12" max="16384" width="9.28515625" style="15"/>
  </cols>
  <sheetData>
    <row r="2" spans="2:12" x14ac:dyDescent="0.25">
      <c r="L2" s="103" t="e">
        <v>#VALUE!</v>
      </c>
    </row>
    <row r="3" spans="2:12" x14ac:dyDescent="0.25">
      <c r="L3" s="103" t="e">
        <v>#VALUE!</v>
      </c>
    </row>
    <row r="4" spans="2:12" x14ac:dyDescent="0.25">
      <c r="L4" s="103" t="e">
        <v>#VALUE!</v>
      </c>
    </row>
    <row r="6" spans="2:12" s="46" customFormat="1" x14ac:dyDescent="0.2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x14ac:dyDescent="0.2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25">
      <c r="B10" s="15" t="e">
        <v>#VALUE!</v>
      </c>
      <c r="C10" s="113" t="e">
        <v>#VALUE!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25">
      <c r="B14" s="15" t="e">
        <v>#VALUE!</v>
      </c>
      <c r="C14" s="15" t="e">
        <v>#VALUE!</v>
      </c>
    </row>
    <row r="15" spans="2:12" x14ac:dyDescent="0.25">
      <c r="C15" s="15" t="e">
        <v>#VALUE!</v>
      </c>
    </row>
    <row r="16" spans="2:12" x14ac:dyDescent="0.25">
      <c r="C16" s="15" t="e">
        <v>#VALUE!</v>
      </c>
    </row>
    <row r="17" spans="3:11" x14ac:dyDescent="0.25">
      <c r="C17" s="15" t="e">
        <v>#VALUE!</v>
      </c>
    </row>
    <row r="18" spans="3:11" x14ac:dyDescent="0.25">
      <c r="C18" s="15" t="e">
        <v>#VALUE!</v>
      </c>
    </row>
    <row r="20" spans="3:11" x14ac:dyDescent="0.25">
      <c r="C20" s="15" t="e">
        <v>#VALUE!</v>
      </c>
    </row>
    <row r="22" spans="3:11" x14ac:dyDescent="0.25">
      <c r="C22" s="15" t="e">
        <v>#VALUE!</v>
      </c>
      <c r="I22" s="110"/>
      <c r="K22" s="103"/>
    </row>
    <row r="23" spans="3:11" x14ac:dyDescent="0.25">
      <c r="K23" s="103"/>
    </row>
    <row r="24" spans="3:11" x14ac:dyDescent="0.25">
      <c r="C24" s="15" t="e">
        <v>#VALUE!</v>
      </c>
      <c r="I24" s="109"/>
      <c r="K24" s="103"/>
    </row>
    <row r="25" spans="3:11" x14ac:dyDescent="0.25">
      <c r="K25" s="103"/>
    </row>
    <row r="26" spans="3:11" x14ac:dyDescent="0.25">
      <c r="C26" s="15" t="e">
        <v>#VALUE!</v>
      </c>
      <c r="I26" s="109"/>
      <c r="K26" s="103"/>
    </row>
    <row r="27" spans="3:11" x14ac:dyDescent="0.25">
      <c r="K27" s="103"/>
    </row>
    <row r="28" spans="3:11" x14ac:dyDescent="0.25">
      <c r="C28" s="15" t="e">
        <v>#VALUE!</v>
      </c>
      <c r="I28" s="109"/>
      <c r="K28" s="103"/>
    </row>
    <row r="29" spans="3:11" x14ac:dyDescent="0.25">
      <c r="K29" s="103"/>
    </row>
    <row r="30" spans="3:11" x14ac:dyDescent="0.25">
      <c r="C30" s="15" t="e">
        <v>#VALUE!</v>
      </c>
      <c r="I30" s="110"/>
      <c r="K30" s="109"/>
    </row>
    <row r="31" spans="3:11" x14ac:dyDescent="0.25">
      <c r="K31" s="103"/>
    </row>
    <row r="32" spans="3:11" x14ac:dyDescent="0.25">
      <c r="C32" s="15" t="e">
        <v>#VALUE!</v>
      </c>
      <c r="I32" s="110"/>
      <c r="K32" s="103"/>
    </row>
    <row r="33" spans="3:11" x14ac:dyDescent="0.25">
      <c r="K33" s="103"/>
    </row>
    <row r="34" spans="3:11" x14ac:dyDescent="0.25">
      <c r="C34" s="15" t="e">
        <v>#VALUE!</v>
      </c>
      <c r="I34" s="110"/>
      <c r="K34" s="103"/>
    </row>
    <row r="35" spans="3:11" x14ac:dyDescent="0.25">
      <c r="C35" s="15" t="e">
        <v>#VALUE!</v>
      </c>
      <c r="I35" s="110"/>
      <c r="K35" s="109">
        <f>'C-31 1of3'!K44</f>
        <v>55673070.439999998</v>
      </c>
    </row>
    <row r="36" spans="3:11" x14ac:dyDescent="0.25">
      <c r="I36" s="110"/>
      <c r="K36" s="103"/>
    </row>
    <row r="37" spans="3:11" x14ac:dyDescent="0.25">
      <c r="C37" s="15" t="e">
        <v>#VALUE!</v>
      </c>
      <c r="I37" s="110"/>
      <c r="K37" s="103"/>
    </row>
    <row r="38" spans="3:11" x14ac:dyDescent="0.25">
      <c r="K38" s="103"/>
    </row>
    <row r="39" spans="3:11" x14ac:dyDescent="0.25">
      <c r="C39" s="15" t="e">
        <v>#VALUE!</v>
      </c>
      <c r="I39" s="110"/>
      <c r="K39" s="103"/>
    </row>
    <row r="40" spans="3:11" x14ac:dyDescent="0.25">
      <c r="K40" s="107"/>
    </row>
    <row r="41" spans="3:11" x14ac:dyDescent="0.25">
      <c r="C41" s="15" t="e">
        <v>#VALUE!</v>
      </c>
      <c r="I41" s="109">
        <f>'C-31 2of3'!I19</f>
        <v>54503402.899999999</v>
      </c>
      <c r="K41" s="110"/>
    </row>
    <row r="42" spans="3:11" x14ac:dyDescent="0.25">
      <c r="K42" s="19"/>
    </row>
    <row r="43" spans="3:11" x14ac:dyDescent="0.25">
      <c r="C43" s="15" t="e">
        <v>#VALUE!</v>
      </c>
      <c r="I43" s="109">
        <f>-'C-31 2of3'!K45</f>
        <v>-54383.94</v>
      </c>
      <c r="K43" s="110"/>
    </row>
    <row r="44" spans="3:11" x14ac:dyDescent="0.25">
      <c r="I44" s="103"/>
      <c r="K44" s="107"/>
    </row>
    <row r="45" spans="3:11" x14ac:dyDescent="0.25">
      <c r="C45" s="15" t="e">
        <v>#VALUE!</v>
      </c>
      <c r="I45" s="109">
        <f>'C-31 2of3'!I31</f>
        <v>834607.98504124023</v>
      </c>
      <c r="K45" s="110"/>
    </row>
    <row r="46" spans="3:11" x14ac:dyDescent="0.25">
      <c r="I46" s="103"/>
      <c r="K46" s="107"/>
    </row>
    <row r="47" spans="3:11" x14ac:dyDescent="0.25">
      <c r="C47" s="15" t="e">
        <v>#VALUE!</v>
      </c>
      <c r="I47" s="109">
        <v>0</v>
      </c>
      <c r="K47" s="110"/>
    </row>
    <row r="48" spans="3:11" x14ac:dyDescent="0.25">
      <c r="K48" s="103"/>
    </row>
    <row r="49" spans="3:11" x14ac:dyDescent="0.25">
      <c r="C49" s="15" t="e">
        <v>#VALUE!</v>
      </c>
      <c r="K49" s="109">
        <f>SUM(I41:I47)</f>
        <v>55283626.945041239</v>
      </c>
    </row>
    <row r="50" spans="3:11" x14ac:dyDescent="0.25">
      <c r="K50" s="103"/>
    </row>
    <row r="51" spans="3:11" x14ac:dyDescent="0.25">
      <c r="C51" s="15" t="e">
        <v>#VALUE!</v>
      </c>
    </row>
    <row r="52" spans="3:11" x14ac:dyDescent="0.25">
      <c r="K52" s="103"/>
    </row>
    <row r="53" spans="3:11" x14ac:dyDescent="0.25">
      <c r="C53" s="15" t="e">
        <v>#VALUE!</v>
      </c>
      <c r="K53" s="110"/>
    </row>
    <row r="54" spans="3:11" x14ac:dyDescent="0.25">
      <c r="C54" s="15" t="e">
        <v>#VALUE!</v>
      </c>
      <c r="K54" s="109">
        <f>K49-K35</f>
        <v>-389443.49495875835</v>
      </c>
    </row>
    <row r="56" spans="3:11" x14ac:dyDescent="0.25">
      <c r="I56" s="112"/>
      <c r="K56" s="112"/>
    </row>
    <row r="57" spans="3:11" x14ac:dyDescent="0.25">
      <c r="K57" s="115"/>
    </row>
    <row r="59" spans="3:11" x14ac:dyDescent="0.25">
      <c r="K59" s="112"/>
    </row>
    <row r="61" spans="3:11" x14ac:dyDescent="0.25">
      <c r="K61" s="112"/>
    </row>
    <row r="62" spans="3:11" x14ac:dyDescent="0.25">
      <c r="K62" s="112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V103"/>
  <sheetViews>
    <sheetView zoomScale="70" zoomScaleNormal="70" zoomScaleSheetLayoutView="100" workbookViewId="0">
      <pane xSplit="1" ySplit="9" topLeftCell="B64" activePane="bottomRight" state="frozen"/>
      <selection activeCell="M7" sqref="M7"/>
      <selection pane="topRight" activeCell="M7" sqref="M7"/>
      <selection pane="bottomLeft" activeCell="M7" sqref="M7"/>
      <selection pane="bottomRight" activeCell="C1" sqref="C1"/>
    </sheetView>
  </sheetViews>
  <sheetFormatPr defaultColWidth="10.7109375" defaultRowHeight="13.2" x14ac:dyDescent="0.25"/>
  <cols>
    <col min="1" max="1" width="21.85546875" style="3" customWidth="1"/>
    <col min="2" max="2" width="4.42578125" style="3" customWidth="1"/>
    <col min="3" max="3" width="19.85546875" style="1" customWidth="1"/>
    <col min="4" max="4" width="4.42578125" style="1" customWidth="1"/>
    <col min="5" max="5" width="19.85546875" style="1" customWidth="1"/>
    <col min="6" max="6" width="4.42578125" style="3" customWidth="1"/>
    <col min="7" max="7" width="19.85546875" style="1" customWidth="1"/>
    <col min="8" max="8" width="4.42578125" style="1" customWidth="1"/>
    <col min="9" max="9" width="19.85546875" style="1" customWidth="1"/>
    <col min="10" max="10" width="4.42578125" style="1" customWidth="1"/>
    <col min="11" max="11" width="21.5703125" style="1" customWidth="1"/>
    <col min="12" max="12" width="4.42578125" style="1" customWidth="1"/>
    <col min="13" max="13" width="21.5703125" style="1" customWidth="1"/>
    <col min="14" max="14" width="14.85546875" style="1" customWidth="1"/>
    <col min="15" max="15" width="18.28515625" style="142" bestFit="1" customWidth="1"/>
    <col min="16" max="16" width="18" style="1" customWidth="1"/>
    <col min="17" max="16384" width="10.7109375" style="1"/>
  </cols>
  <sheetData>
    <row r="1" spans="1:22" s="139" customFormat="1" ht="17.399999999999999" x14ac:dyDescent="0.3">
      <c r="A1" s="137"/>
      <c r="B1" s="137"/>
      <c r="C1" s="53" t="str">
        <f>COI2022A!A1</f>
        <v>MPEA 2022A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38"/>
      <c r="O1" s="140"/>
    </row>
    <row r="2" spans="1:22" s="58" customFormat="1" ht="17.399999999999999" x14ac:dyDescent="0.3">
      <c r="A2" s="59"/>
      <c r="B2" s="59"/>
      <c r="C2" s="116" t="s">
        <v>37</v>
      </c>
      <c r="D2" s="116"/>
      <c r="E2" s="116"/>
      <c r="F2" s="59"/>
      <c r="G2" s="116"/>
      <c r="H2" s="116"/>
      <c r="I2" s="116"/>
      <c r="J2" s="116"/>
      <c r="K2" s="116"/>
      <c r="L2" s="116"/>
      <c r="M2" s="60"/>
      <c r="O2" s="141"/>
    </row>
    <row r="3" spans="1:22" s="58" customFormat="1" ht="15.6" x14ac:dyDescent="0.3">
      <c r="A3" s="61"/>
      <c r="B3" s="61"/>
      <c r="C3" s="62" t="s">
        <v>134</v>
      </c>
      <c r="D3" s="62"/>
      <c r="E3" s="62"/>
      <c r="F3" s="61"/>
      <c r="G3" s="62"/>
      <c r="H3" s="62"/>
      <c r="I3" s="62"/>
      <c r="J3" s="62"/>
      <c r="K3" s="62"/>
      <c r="L3" s="62"/>
      <c r="M3" s="63"/>
      <c r="O3" s="141"/>
    </row>
    <row r="4" spans="1:22" ht="15.6" x14ac:dyDescent="0.3">
      <c r="A4" s="8"/>
      <c r="B4" s="8"/>
      <c r="C4" s="14"/>
      <c r="D4" s="14"/>
      <c r="E4" s="14"/>
      <c r="F4" s="8"/>
      <c r="G4" s="14"/>
      <c r="H4" s="14"/>
      <c r="I4" s="14"/>
      <c r="J4" s="14"/>
      <c r="K4" s="14"/>
      <c r="L4" s="14"/>
      <c r="M4" s="4"/>
    </row>
    <row r="5" spans="1:22" ht="13.8" x14ac:dyDescent="0.25">
      <c r="A5" s="41" t="s">
        <v>24</v>
      </c>
      <c r="B5" s="41"/>
      <c r="C5" s="41"/>
      <c r="D5" s="41"/>
      <c r="E5" s="42">
        <v>44637</v>
      </c>
      <c r="F5" s="41"/>
      <c r="G5" s="41"/>
      <c r="H5" s="47"/>
      <c r="I5" s="47"/>
      <c r="J5" s="47"/>
      <c r="K5" s="47"/>
      <c r="L5" s="47"/>
      <c r="M5" s="4"/>
    </row>
    <row r="6" spans="1:22" ht="15.6" x14ac:dyDescent="0.3">
      <c r="A6" s="8"/>
      <c r="B6" s="8"/>
      <c r="C6" s="14"/>
      <c r="D6" s="14"/>
      <c r="E6" s="14"/>
      <c r="F6" s="8"/>
      <c r="G6" s="14"/>
      <c r="H6" s="14"/>
      <c r="I6" s="14"/>
      <c r="J6" s="14"/>
      <c r="K6" s="14"/>
      <c r="L6" s="14"/>
      <c r="M6" s="4"/>
    </row>
    <row r="7" spans="1:22" ht="15.6" x14ac:dyDescent="0.3">
      <c r="A7" s="33" t="s">
        <v>21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  <c r="P7" s="8"/>
      <c r="Q7" s="8"/>
      <c r="R7" s="8"/>
      <c r="S7" s="8"/>
      <c r="T7" s="7"/>
      <c r="U7" s="7"/>
      <c r="V7" s="7"/>
    </row>
    <row r="8" spans="1:22" ht="13.8" x14ac:dyDescent="0.25">
      <c r="A8" s="9" t="s">
        <v>22</v>
      </c>
      <c r="B8" s="9"/>
      <c r="C8" s="11" t="s">
        <v>28</v>
      </c>
      <c r="D8" s="11"/>
      <c r="E8" s="10"/>
      <c r="F8" s="11"/>
      <c r="G8" s="11" t="s">
        <v>31</v>
      </c>
      <c r="H8" s="10"/>
      <c r="I8" s="11" t="s">
        <v>33</v>
      </c>
      <c r="J8" s="11"/>
      <c r="K8" s="11"/>
      <c r="L8" s="11"/>
      <c r="M8" s="11" t="s">
        <v>38</v>
      </c>
      <c r="P8" s="48"/>
      <c r="Q8" s="48"/>
      <c r="R8" s="48"/>
      <c r="S8" s="48"/>
      <c r="T8" s="7"/>
      <c r="U8" s="7"/>
      <c r="V8" s="7"/>
    </row>
    <row r="9" spans="1:22" ht="13.8" x14ac:dyDescent="0.25">
      <c r="A9" s="12" t="s">
        <v>23</v>
      </c>
      <c r="B9" s="12"/>
      <c r="C9" s="10" t="s">
        <v>29</v>
      </c>
      <c r="D9" s="10"/>
      <c r="E9" s="10" t="s">
        <v>30</v>
      </c>
      <c r="F9" s="10"/>
      <c r="G9" s="10" t="s">
        <v>32</v>
      </c>
      <c r="H9" s="10"/>
      <c r="I9" s="10" t="s">
        <v>32</v>
      </c>
      <c r="J9" s="10"/>
      <c r="K9" s="10" t="s">
        <v>34</v>
      </c>
      <c r="L9" s="10"/>
      <c r="M9" s="10" t="s">
        <v>34</v>
      </c>
      <c r="P9" s="8"/>
      <c r="Q9" s="8"/>
      <c r="R9" s="8"/>
      <c r="S9" s="8"/>
      <c r="T9" s="7"/>
      <c r="U9" s="7"/>
      <c r="V9" s="7"/>
    </row>
    <row r="10" spans="1:22" ht="13.8" x14ac:dyDescent="0.25">
      <c r="A10" s="8">
        <v>44545</v>
      </c>
      <c r="B10" s="8"/>
      <c r="C10" s="5">
        <f>'Series Detail'!R12</f>
        <v>0</v>
      </c>
      <c r="D10" s="5"/>
      <c r="E10" s="5">
        <f>'Series Detail'!S12</f>
        <v>56529305.079999998</v>
      </c>
      <c r="F10" s="8"/>
      <c r="G10" s="5">
        <f>'Series Detail'!T12</f>
        <v>0</v>
      </c>
      <c r="H10" s="5"/>
      <c r="I10" s="5">
        <f>'Series Detail'!U12</f>
        <v>0</v>
      </c>
      <c r="J10" s="5"/>
      <c r="K10" s="5">
        <f t="shared" ref="K10:K70" si="0">SUM(C10:J10)</f>
        <v>56529305.079999998</v>
      </c>
      <c r="L10" s="5"/>
      <c r="M10" s="4"/>
      <c r="P10" s="143"/>
    </row>
    <row r="11" spans="1:22" ht="13.8" x14ac:dyDescent="0.25">
      <c r="A11" s="8">
        <f t="shared" ref="A11:A71" si="1">EDATE(A10,6)</f>
        <v>44727</v>
      </c>
      <c r="B11" s="8"/>
      <c r="C11" s="5">
        <f>'Series Detail'!R13</f>
        <v>0</v>
      </c>
      <c r="D11" s="5"/>
      <c r="E11" s="5">
        <f>'Series Detail'!S13</f>
        <v>63199509.519999996</v>
      </c>
      <c r="F11" s="8"/>
      <c r="G11" s="5">
        <f>'Series Detail'!T13</f>
        <v>0</v>
      </c>
      <c r="H11" s="5"/>
      <c r="I11" s="5">
        <f>'Series Detail'!U13</f>
        <v>-6670204.4400000004</v>
      </c>
      <c r="J11" s="5"/>
      <c r="K11" s="5">
        <f t="shared" si="0"/>
        <v>56529305.079999998</v>
      </c>
      <c r="L11" s="5"/>
      <c r="M11" s="5">
        <f>+K10+K11</f>
        <v>113058610.16</v>
      </c>
      <c r="P11" s="143"/>
    </row>
    <row r="12" spans="1:22" ht="13.8" x14ac:dyDescent="0.25">
      <c r="A12" s="8">
        <f t="shared" si="1"/>
        <v>44910</v>
      </c>
      <c r="B12" s="8"/>
      <c r="C12" s="5">
        <f>'Series Detail'!R14</f>
        <v>49201020</v>
      </c>
      <c r="D12" s="5"/>
      <c r="E12" s="5">
        <f>'Series Detail'!S14</f>
        <v>51903430.079999998</v>
      </c>
      <c r="F12" s="8"/>
      <c r="G12" s="5">
        <f>'Series Detail'!T14</f>
        <v>40068980</v>
      </c>
      <c r="H12" s="5"/>
      <c r="I12" s="5">
        <f>'Series Detail'!U14</f>
        <v>-12066751.17</v>
      </c>
      <c r="J12" s="5"/>
      <c r="K12" s="5">
        <f t="shared" si="0"/>
        <v>129106678.90999998</v>
      </c>
      <c r="L12" s="5"/>
      <c r="M12" s="4"/>
      <c r="P12" s="143"/>
    </row>
    <row r="13" spans="1:22" ht="13.8" x14ac:dyDescent="0.25">
      <c r="A13" s="8">
        <f t="shared" si="1"/>
        <v>45092</v>
      </c>
      <c r="B13" s="8"/>
      <c r="C13" s="5">
        <f>'Series Detail'!R15</f>
        <v>11442993.099999998</v>
      </c>
      <c r="D13" s="5"/>
      <c r="E13" s="5">
        <f>'Series Detail'!S15</f>
        <v>50924255.079999998</v>
      </c>
      <c r="F13" s="8"/>
      <c r="G13" s="5">
        <f>'Series Detail'!T15</f>
        <v>21677006.900000002</v>
      </c>
      <c r="H13" s="5"/>
      <c r="I13" s="5">
        <f>'Series Detail'!U15</f>
        <v>0</v>
      </c>
      <c r="J13" s="5"/>
      <c r="K13" s="5">
        <f t="shared" si="0"/>
        <v>84044255.079999998</v>
      </c>
      <c r="L13" s="5"/>
      <c r="M13" s="5">
        <f>+K12+K13</f>
        <v>213150933.98999998</v>
      </c>
      <c r="P13" s="143"/>
    </row>
    <row r="14" spans="1:22" ht="13.8" x14ac:dyDescent="0.25">
      <c r="A14" s="8">
        <f t="shared" si="1"/>
        <v>45275</v>
      </c>
      <c r="B14" s="8"/>
      <c r="C14" s="5">
        <f>'Series Detail'!R16</f>
        <v>19319366.600000001</v>
      </c>
      <c r="D14" s="5"/>
      <c r="E14" s="5">
        <f>'Series Detail'!S16</f>
        <v>50579475.079999998</v>
      </c>
      <c r="F14" s="8"/>
      <c r="G14" s="5">
        <f>'Series Detail'!T16</f>
        <v>97320633.400000006</v>
      </c>
      <c r="H14" s="5"/>
      <c r="I14" s="5">
        <f>'Series Detail'!U16</f>
        <v>0</v>
      </c>
      <c r="J14" s="5"/>
      <c r="K14" s="5">
        <f t="shared" si="0"/>
        <v>167219475.08000001</v>
      </c>
      <c r="L14" s="5"/>
      <c r="M14" s="4"/>
      <c r="P14" s="143"/>
    </row>
    <row r="15" spans="1:22" ht="13.8" x14ac:dyDescent="0.25">
      <c r="A15" s="8">
        <f t="shared" si="1"/>
        <v>45458</v>
      </c>
      <c r="B15" s="8"/>
      <c r="C15" s="5">
        <f>'Series Detail'!R17</f>
        <v>34697722.800000004</v>
      </c>
      <c r="D15" s="5"/>
      <c r="E15" s="5">
        <f>'Series Detail'!S17</f>
        <v>50450362.579999998</v>
      </c>
      <c r="F15" s="8"/>
      <c r="G15" s="5">
        <f>'Series Detail'!T17</f>
        <v>17157277.199999999</v>
      </c>
      <c r="H15" s="5"/>
      <c r="I15" s="5">
        <f>'Series Detail'!U17</f>
        <v>0</v>
      </c>
      <c r="J15" s="5"/>
      <c r="K15" s="5">
        <f t="shared" si="0"/>
        <v>102305362.58</v>
      </c>
      <c r="L15" s="5"/>
      <c r="M15" s="5">
        <f>+K14+K15</f>
        <v>269524837.66000003</v>
      </c>
      <c r="P15" s="143"/>
    </row>
    <row r="16" spans="1:22" ht="13.8" x14ac:dyDescent="0.25">
      <c r="A16" s="8">
        <f t="shared" si="1"/>
        <v>45641</v>
      </c>
      <c r="B16" s="8"/>
      <c r="C16" s="5">
        <f>'Series Detail'!R18</f>
        <v>17916601.25</v>
      </c>
      <c r="D16" s="5"/>
      <c r="E16" s="5">
        <f>'Series Detail'!S18</f>
        <v>49898200.079999998</v>
      </c>
      <c r="F16" s="8"/>
      <c r="G16" s="5">
        <f>'Series Detail'!T18</f>
        <v>92468398.75</v>
      </c>
      <c r="H16" s="5"/>
      <c r="I16" s="5">
        <f>'Series Detail'!U18</f>
        <v>0</v>
      </c>
      <c r="J16" s="5"/>
      <c r="K16" s="5">
        <f t="shared" si="0"/>
        <v>160283200.07999998</v>
      </c>
      <c r="L16" s="5"/>
      <c r="M16" s="4"/>
      <c r="P16" s="143"/>
    </row>
    <row r="17" spans="1:16" ht="13.8" x14ac:dyDescent="0.25">
      <c r="A17" s="8">
        <f t="shared" si="1"/>
        <v>45823</v>
      </c>
      <c r="B17" s="8"/>
      <c r="C17" s="5">
        <f>'Series Detail'!R19</f>
        <v>31650081.900000002</v>
      </c>
      <c r="D17" s="5"/>
      <c r="E17" s="5">
        <f>'Series Detail'!S19</f>
        <v>49761800.079999998</v>
      </c>
      <c r="F17" s="8"/>
      <c r="G17" s="5">
        <f>'Series Detail'!T19</f>
        <v>16949918.100000001</v>
      </c>
      <c r="H17" s="5"/>
      <c r="I17" s="5">
        <f>'Series Detail'!U19</f>
        <v>0</v>
      </c>
      <c r="J17" s="5"/>
      <c r="K17" s="5">
        <f t="shared" si="0"/>
        <v>98361800.080000013</v>
      </c>
      <c r="L17" s="5"/>
      <c r="M17" s="5">
        <f>+K16+K17</f>
        <v>258645000.16</v>
      </c>
      <c r="P17" s="143"/>
    </row>
    <row r="18" spans="1:16" ht="13.8" x14ac:dyDescent="0.25">
      <c r="A18" s="8">
        <f t="shared" si="1"/>
        <v>46006</v>
      </c>
      <c r="B18" s="8"/>
      <c r="C18" s="5">
        <f>'Series Detail'!R20</f>
        <v>15031644</v>
      </c>
      <c r="D18" s="5"/>
      <c r="E18" s="5">
        <f>'Series Detail'!S20</f>
        <v>49245850.079999998</v>
      </c>
      <c r="F18" s="8"/>
      <c r="G18" s="5">
        <f>'Series Detail'!T20</f>
        <v>60213356</v>
      </c>
      <c r="H18" s="5"/>
      <c r="I18" s="5">
        <f>'Series Detail'!U20</f>
        <v>0</v>
      </c>
      <c r="J18" s="5"/>
      <c r="K18" s="5">
        <f t="shared" si="0"/>
        <v>124490850.08</v>
      </c>
      <c r="L18" s="5"/>
      <c r="M18" s="4"/>
      <c r="P18" s="143"/>
    </row>
    <row r="19" spans="1:16" ht="13.8" x14ac:dyDescent="0.25">
      <c r="A19" s="8">
        <f t="shared" si="1"/>
        <v>46188</v>
      </c>
      <c r="B19" s="8"/>
      <c r="C19" s="5">
        <f>'Series Detail'!R21</f>
        <v>32132728.600000001</v>
      </c>
      <c r="D19" s="5"/>
      <c r="E19" s="5">
        <f>'Series Detail'!S21</f>
        <v>48961637.579999998</v>
      </c>
      <c r="F19" s="8"/>
      <c r="G19" s="5">
        <f>'Series Detail'!T21</f>
        <v>33287271.399999999</v>
      </c>
      <c r="H19" s="5"/>
      <c r="I19" s="5">
        <f>'Series Detail'!U21</f>
        <v>0</v>
      </c>
      <c r="J19" s="5"/>
      <c r="K19" s="5">
        <f t="shared" si="0"/>
        <v>114381637.58000001</v>
      </c>
      <c r="L19" s="5"/>
      <c r="M19" s="5">
        <f>+K18+K19</f>
        <v>238872487.66000003</v>
      </c>
      <c r="P19" s="143"/>
    </row>
    <row r="20" spans="1:16" ht="13.8" x14ac:dyDescent="0.25">
      <c r="A20" s="8">
        <f t="shared" si="1"/>
        <v>46371</v>
      </c>
      <c r="B20" s="8"/>
      <c r="C20" s="5">
        <f>'Series Detail'!R22</f>
        <v>60259290.399999999</v>
      </c>
      <c r="D20" s="5"/>
      <c r="E20" s="5">
        <f>'Series Detail'!S22</f>
        <v>48685950.079999998</v>
      </c>
      <c r="F20" s="8"/>
      <c r="G20" s="5">
        <f>'Series Detail'!T22</f>
        <v>39230709.600000001</v>
      </c>
      <c r="H20" s="5"/>
      <c r="I20" s="5">
        <f>'Series Detail'!U22</f>
        <v>0</v>
      </c>
      <c r="J20" s="5"/>
      <c r="K20" s="5">
        <f t="shared" si="0"/>
        <v>148175950.07999998</v>
      </c>
      <c r="L20" s="5"/>
      <c r="M20" s="4"/>
      <c r="P20" s="143"/>
    </row>
    <row r="21" spans="1:16" ht="13.8" x14ac:dyDescent="0.25">
      <c r="A21" s="8">
        <f t="shared" si="1"/>
        <v>46553</v>
      </c>
      <c r="B21" s="8"/>
      <c r="C21" s="5">
        <f>'Series Detail'!R23</f>
        <v>35539557.200000003</v>
      </c>
      <c r="D21" s="5"/>
      <c r="E21" s="5">
        <f>'Series Detail'!S23</f>
        <v>47413948.950000003</v>
      </c>
      <c r="F21" s="8"/>
      <c r="G21" s="5">
        <f>'Series Detail'!T23</f>
        <v>42135442.799999997</v>
      </c>
      <c r="H21" s="5"/>
      <c r="I21" s="5">
        <f>'Series Detail'!U23</f>
        <v>0</v>
      </c>
      <c r="J21" s="5"/>
      <c r="K21" s="5">
        <f t="shared" si="0"/>
        <v>125088948.95</v>
      </c>
      <c r="L21" s="5"/>
      <c r="M21" s="5">
        <f>+K20+K21</f>
        <v>273264899.02999997</v>
      </c>
      <c r="P21" s="143"/>
    </row>
    <row r="22" spans="1:16" ht="13.8" x14ac:dyDescent="0.25">
      <c r="A22" s="8">
        <f t="shared" si="1"/>
        <v>46736</v>
      </c>
      <c r="B22" s="8"/>
      <c r="C22" s="5">
        <f>'Series Detail'!R24</f>
        <v>39340000</v>
      </c>
      <c r="D22" s="5"/>
      <c r="E22" s="5">
        <f>'Series Detail'!S24</f>
        <v>47122998.950000003</v>
      </c>
      <c r="F22" s="8"/>
      <c r="G22" s="5">
        <f>'Series Detail'!T24</f>
        <v>0</v>
      </c>
      <c r="H22" s="5"/>
      <c r="I22" s="5">
        <f>'Series Detail'!U24</f>
        <v>0</v>
      </c>
      <c r="J22" s="5"/>
      <c r="K22" s="5">
        <f t="shared" si="0"/>
        <v>86462998.950000003</v>
      </c>
      <c r="L22" s="5"/>
      <c r="M22" s="4"/>
      <c r="P22" s="143"/>
    </row>
    <row r="23" spans="1:16" ht="13.8" x14ac:dyDescent="0.25">
      <c r="A23" s="8">
        <f t="shared" si="1"/>
        <v>46919</v>
      </c>
      <c r="B23" s="8"/>
      <c r="C23" s="5">
        <f>'Series Detail'!R25</f>
        <v>15902687.300000001</v>
      </c>
      <c r="D23" s="5"/>
      <c r="E23" s="5">
        <f>'Series Detail'!S25</f>
        <v>46266433.329999998</v>
      </c>
      <c r="F23" s="8"/>
      <c r="G23" s="5">
        <f>'Series Detail'!T25</f>
        <v>83087312.700000003</v>
      </c>
      <c r="H23" s="5"/>
      <c r="I23" s="5">
        <f>'Series Detail'!U25</f>
        <v>0</v>
      </c>
      <c r="J23" s="5"/>
      <c r="K23" s="5">
        <f t="shared" si="0"/>
        <v>145256433.32999998</v>
      </c>
      <c r="L23" s="5"/>
      <c r="M23" s="5">
        <f>+K22+K23</f>
        <v>231719432.27999997</v>
      </c>
      <c r="P23" s="143"/>
    </row>
    <row r="24" spans="1:16" ht="13.8" x14ac:dyDescent="0.25">
      <c r="A24" s="8">
        <f t="shared" si="1"/>
        <v>47102</v>
      </c>
      <c r="B24" s="8"/>
      <c r="C24" s="5">
        <f>'Series Detail'!R26</f>
        <v>51235000</v>
      </c>
      <c r="D24" s="5"/>
      <c r="E24" s="5">
        <f>'Series Detail'!S26</f>
        <v>46101570.829999998</v>
      </c>
      <c r="F24" s="8"/>
      <c r="G24" s="5">
        <f>'Series Detail'!T26</f>
        <v>0</v>
      </c>
      <c r="H24" s="5"/>
      <c r="I24" s="5">
        <f>'Series Detail'!U26</f>
        <v>0</v>
      </c>
      <c r="J24" s="5"/>
      <c r="K24" s="5">
        <f t="shared" si="0"/>
        <v>97336570.829999998</v>
      </c>
      <c r="L24" s="5"/>
      <c r="M24" s="4"/>
      <c r="P24" s="143"/>
    </row>
    <row r="25" spans="1:16" ht="13.8" x14ac:dyDescent="0.25">
      <c r="A25" s="8">
        <f t="shared" si="1"/>
        <v>47284</v>
      </c>
      <c r="B25" s="8"/>
      <c r="C25" s="5">
        <f>'Series Detail'!R27</f>
        <v>15495321.300000001</v>
      </c>
      <c r="D25" s="5"/>
      <c r="E25" s="5">
        <f>'Series Detail'!S27</f>
        <v>44901325</v>
      </c>
      <c r="F25" s="8"/>
      <c r="G25" s="5">
        <f>'Series Detail'!T27</f>
        <v>83719678.700000003</v>
      </c>
      <c r="H25" s="5"/>
      <c r="I25" s="5">
        <f>'Series Detail'!U27</f>
        <v>0</v>
      </c>
      <c r="J25" s="5"/>
      <c r="K25" s="5">
        <f t="shared" si="0"/>
        <v>144116325</v>
      </c>
      <c r="L25" s="5"/>
      <c r="M25" s="5">
        <f>+K24+K25</f>
        <v>241452895.82999998</v>
      </c>
      <c r="P25" s="143"/>
    </row>
    <row r="26" spans="1:16" ht="13.8" x14ac:dyDescent="0.25">
      <c r="A26" s="8">
        <f t="shared" si="1"/>
        <v>47467</v>
      </c>
      <c r="B26" s="8"/>
      <c r="C26" s="5">
        <f>'Series Detail'!R28</f>
        <v>6595539.0499999998</v>
      </c>
      <c r="D26" s="5"/>
      <c r="E26" s="5">
        <f>'Series Detail'!S28</f>
        <v>44730275</v>
      </c>
      <c r="F26" s="8"/>
      <c r="G26" s="5">
        <f>'Series Detail'!T28</f>
        <v>155099460.94999999</v>
      </c>
      <c r="H26" s="5"/>
      <c r="I26" s="5">
        <f>'Series Detail'!U28</f>
        <v>0</v>
      </c>
      <c r="J26" s="5"/>
      <c r="K26" s="5">
        <f t="shared" si="0"/>
        <v>206425275</v>
      </c>
      <c r="L26" s="5"/>
      <c r="M26" s="4"/>
      <c r="P26" s="143"/>
    </row>
    <row r="27" spans="1:16" ht="13.8" x14ac:dyDescent="0.25">
      <c r="A27" s="8">
        <f t="shared" si="1"/>
        <v>47649</v>
      </c>
      <c r="B27" s="8"/>
      <c r="C27" s="5">
        <f>'Series Detail'!R29</f>
        <v>3486095.6</v>
      </c>
      <c r="D27" s="5"/>
      <c r="E27" s="5">
        <f>'Series Detail'!S29</f>
        <v>44730275</v>
      </c>
      <c r="F27" s="8"/>
      <c r="G27" s="5">
        <f>'Series Detail'!T29</f>
        <v>87108904.400000006</v>
      </c>
      <c r="H27" s="5"/>
      <c r="I27" s="5">
        <f>'Series Detail'!U29</f>
        <v>0</v>
      </c>
      <c r="J27" s="5"/>
      <c r="K27" s="5">
        <f t="shared" si="0"/>
        <v>135325275</v>
      </c>
      <c r="L27" s="5"/>
      <c r="M27" s="5">
        <f>+K26+K27</f>
        <v>341750550</v>
      </c>
      <c r="P27" s="143"/>
    </row>
    <row r="28" spans="1:16" ht="13.8" x14ac:dyDescent="0.25">
      <c r="A28" s="8">
        <f t="shared" si="1"/>
        <v>47832</v>
      </c>
      <c r="B28" s="8"/>
      <c r="C28" s="5">
        <f>'Series Detail'!R30</f>
        <v>12504528.5</v>
      </c>
      <c r="D28" s="5"/>
      <c r="E28" s="5">
        <f>'Series Detail'!S30</f>
        <v>44730275</v>
      </c>
      <c r="F28" s="8"/>
      <c r="G28" s="5">
        <f>'Series Detail'!T30</f>
        <v>155825471.5</v>
      </c>
      <c r="H28" s="5"/>
      <c r="I28" s="5">
        <f>'Series Detail'!U30</f>
        <v>0</v>
      </c>
      <c r="J28" s="5"/>
      <c r="K28" s="5">
        <f t="shared" si="0"/>
        <v>213060275</v>
      </c>
      <c r="L28" s="5"/>
      <c r="M28" s="4"/>
      <c r="P28" s="143"/>
    </row>
    <row r="29" spans="1:16" ht="13.8" x14ac:dyDescent="0.25">
      <c r="A29" s="8">
        <f t="shared" si="1"/>
        <v>48014</v>
      </c>
      <c r="B29" s="8"/>
      <c r="C29" s="5">
        <f>'Series Detail'!R31</f>
        <v>3716425.6</v>
      </c>
      <c r="D29" s="5"/>
      <c r="E29" s="5">
        <f>'Series Detail'!S31</f>
        <v>44564400</v>
      </c>
      <c r="F29" s="8"/>
      <c r="G29" s="5">
        <f>'Series Detail'!T31</f>
        <v>92413574.400000006</v>
      </c>
      <c r="H29" s="5"/>
      <c r="I29" s="5">
        <f>'Series Detail'!U31</f>
        <v>0</v>
      </c>
      <c r="J29" s="5"/>
      <c r="K29" s="5">
        <f t="shared" si="0"/>
        <v>140694400</v>
      </c>
      <c r="L29" s="5"/>
      <c r="M29" s="5">
        <f>+K28+K29</f>
        <v>353754675</v>
      </c>
      <c r="P29" s="143"/>
    </row>
    <row r="30" spans="1:16" ht="13.8" x14ac:dyDescent="0.25">
      <c r="A30" s="8">
        <f t="shared" si="1"/>
        <v>48197</v>
      </c>
      <c r="B30" s="8"/>
      <c r="C30" s="5">
        <f>'Series Detail'!R32</f>
        <v>9249365.4499999993</v>
      </c>
      <c r="D30" s="5"/>
      <c r="E30" s="5">
        <f>'Series Detail'!S32</f>
        <v>45974151.25</v>
      </c>
      <c r="F30" s="8"/>
      <c r="G30" s="5">
        <f>'Series Detail'!T32</f>
        <v>156470634.55000001</v>
      </c>
      <c r="H30" s="5"/>
      <c r="I30" s="5">
        <f>'Series Detail'!U32</f>
        <v>0</v>
      </c>
      <c r="J30" s="5"/>
      <c r="K30" s="5">
        <f t="shared" si="0"/>
        <v>211694151.25</v>
      </c>
      <c r="L30" s="5"/>
      <c r="M30" s="4"/>
      <c r="P30" s="143"/>
    </row>
    <row r="31" spans="1:16" ht="13.8" x14ac:dyDescent="0.25">
      <c r="A31" s="8">
        <f t="shared" si="1"/>
        <v>48380</v>
      </c>
      <c r="B31" s="8"/>
      <c r="C31" s="5">
        <f>'Series Detail'!R33</f>
        <v>3401631.2</v>
      </c>
      <c r="D31" s="5"/>
      <c r="E31" s="5">
        <f>'Series Detail'!S33</f>
        <v>45873526.25</v>
      </c>
      <c r="F31" s="8"/>
      <c r="G31" s="5">
        <f>'Series Detail'!T33</f>
        <v>92773368.799999997</v>
      </c>
      <c r="H31" s="5"/>
      <c r="I31" s="5">
        <f>'Series Detail'!U33</f>
        <v>0</v>
      </c>
      <c r="J31" s="5"/>
      <c r="K31" s="5">
        <f t="shared" si="0"/>
        <v>142048526.25</v>
      </c>
      <c r="L31" s="5"/>
      <c r="M31" s="5">
        <f>+K30+K31</f>
        <v>353742677.5</v>
      </c>
      <c r="P31" s="143"/>
    </row>
    <row r="32" spans="1:16" ht="13.8" x14ac:dyDescent="0.25">
      <c r="A32" s="8">
        <f t="shared" si="1"/>
        <v>48563</v>
      </c>
      <c r="B32" s="8"/>
      <c r="C32" s="5">
        <f>'Series Detail'!R34</f>
        <v>8868731.25</v>
      </c>
      <c r="D32" s="5"/>
      <c r="E32" s="5">
        <f>'Series Detail'!S34</f>
        <v>45861401.25</v>
      </c>
      <c r="F32" s="8"/>
      <c r="G32" s="5">
        <f>'Series Detail'!T34</f>
        <v>157046268.75</v>
      </c>
      <c r="H32" s="5"/>
      <c r="I32" s="5">
        <f>'Series Detail'!U34</f>
        <v>0</v>
      </c>
      <c r="J32" s="5"/>
      <c r="K32" s="5">
        <f t="shared" si="0"/>
        <v>211776401.25</v>
      </c>
      <c r="L32" s="5"/>
      <c r="M32" s="4"/>
      <c r="P32" s="143"/>
    </row>
    <row r="33" spans="1:16" ht="13.8" x14ac:dyDescent="0.25">
      <c r="A33" s="8">
        <f t="shared" si="1"/>
        <v>48745</v>
      </c>
      <c r="B33" s="8"/>
      <c r="C33" s="5">
        <f>'Series Detail'!R35</f>
        <v>3130112.8</v>
      </c>
      <c r="D33" s="5"/>
      <c r="E33" s="5">
        <f>'Series Detail'!S35</f>
        <v>45755901.25</v>
      </c>
      <c r="F33" s="8"/>
      <c r="G33" s="5">
        <f>'Series Detail'!T35</f>
        <v>93094887.200000003</v>
      </c>
      <c r="H33" s="5"/>
      <c r="I33" s="5">
        <f>'Series Detail'!U35</f>
        <v>0</v>
      </c>
      <c r="J33" s="5"/>
      <c r="K33" s="5">
        <f t="shared" si="0"/>
        <v>141980901.25</v>
      </c>
      <c r="L33" s="5"/>
      <c r="M33" s="5">
        <f>+K32+K33</f>
        <v>353757302.5</v>
      </c>
      <c r="P33" s="143"/>
    </row>
    <row r="34" spans="1:16" ht="13.8" x14ac:dyDescent="0.25">
      <c r="A34" s="8">
        <f t="shared" si="1"/>
        <v>48928</v>
      </c>
      <c r="B34" s="8"/>
      <c r="C34" s="5">
        <f>'Series Detail'!R36</f>
        <v>8542775.0500000007</v>
      </c>
      <c r="D34" s="5"/>
      <c r="E34" s="5">
        <f>'Series Detail'!S36</f>
        <v>45742526.25</v>
      </c>
      <c r="F34" s="8"/>
      <c r="G34" s="5">
        <f>'Series Detail'!T36</f>
        <v>157557224.94999999</v>
      </c>
      <c r="H34" s="5"/>
      <c r="I34" s="5">
        <f>'Series Detail'!U36</f>
        <v>0</v>
      </c>
      <c r="J34" s="5"/>
      <c r="K34" s="5">
        <f t="shared" si="0"/>
        <v>211842526.25</v>
      </c>
      <c r="L34" s="5"/>
      <c r="M34" s="4"/>
      <c r="P34" s="143"/>
    </row>
    <row r="35" spans="1:16" ht="13.8" x14ac:dyDescent="0.25">
      <c r="A35" s="8">
        <f t="shared" si="1"/>
        <v>49110</v>
      </c>
      <c r="B35" s="8"/>
      <c r="C35" s="5">
        <f>'Series Detail'!R37</f>
        <v>2889956.6</v>
      </c>
      <c r="D35" s="5"/>
      <c r="E35" s="5">
        <f>'Series Detail'!S37</f>
        <v>45632401.25</v>
      </c>
      <c r="F35" s="8"/>
      <c r="G35" s="5">
        <f>'Series Detail'!T37</f>
        <v>93380043.400000006</v>
      </c>
      <c r="H35" s="5"/>
      <c r="I35" s="5">
        <f>'Series Detail'!U37</f>
        <v>0</v>
      </c>
      <c r="J35" s="5"/>
      <c r="K35" s="5">
        <f t="shared" si="0"/>
        <v>141902401.25</v>
      </c>
      <c r="L35" s="5"/>
      <c r="M35" s="5">
        <f>+K34+K35</f>
        <v>353744927.5</v>
      </c>
      <c r="P35" s="143"/>
    </row>
    <row r="36" spans="1:16" ht="13.8" x14ac:dyDescent="0.25">
      <c r="A36" s="8">
        <f t="shared" si="1"/>
        <v>49293</v>
      </c>
      <c r="B36" s="8"/>
      <c r="C36" s="5">
        <f>'Series Detail'!R38</f>
        <v>8301795.1500000004</v>
      </c>
      <c r="D36" s="5"/>
      <c r="E36" s="5">
        <f>'Series Detail'!S38</f>
        <v>45617901.25</v>
      </c>
      <c r="F36" s="8"/>
      <c r="G36" s="5">
        <f>'Series Detail'!T38</f>
        <v>158013204.84999999</v>
      </c>
      <c r="H36" s="5"/>
      <c r="I36" s="5">
        <f>'Series Detail'!U38</f>
        <v>0</v>
      </c>
      <c r="J36" s="5"/>
      <c r="K36" s="5">
        <f t="shared" si="0"/>
        <v>211932901.25</v>
      </c>
      <c r="L36" s="5"/>
      <c r="M36" s="4"/>
      <c r="P36" s="143"/>
    </row>
    <row r="37" spans="1:16" ht="13.8" x14ac:dyDescent="0.25">
      <c r="A37" s="8">
        <f t="shared" si="1"/>
        <v>49475</v>
      </c>
      <c r="B37" s="8"/>
      <c r="C37" s="5">
        <f>'Series Detail'!R39</f>
        <v>2685421.2</v>
      </c>
      <c r="D37" s="5"/>
      <c r="E37" s="5">
        <f>'Series Detail'!S39</f>
        <v>45502401.25</v>
      </c>
      <c r="F37" s="8"/>
      <c r="G37" s="5">
        <f>'Series Detail'!T39</f>
        <v>93634578.799999997</v>
      </c>
      <c r="H37" s="5"/>
      <c r="I37" s="5">
        <f>'Series Detail'!U39</f>
        <v>0</v>
      </c>
      <c r="J37" s="5"/>
      <c r="K37" s="5">
        <f t="shared" si="0"/>
        <v>141822401.25</v>
      </c>
      <c r="L37" s="5"/>
      <c r="M37" s="5">
        <f>+K36+K37</f>
        <v>353755302.5</v>
      </c>
      <c r="P37" s="143"/>
    </row>
    <row r="38" spans="1:16" ht="13.8" x14ac:dyDescent="0.25">
      <c r="A38" s="8">
        <f t="shared" si="1"/>
        <v>49658</v>
      </c>
      <c r="B38" s="8"/>
      <c r="C38" s="5">
        <f>'Series Detail'!R40</f>
        <v>16618870.300000001</v>
      </c>
      <c r="D38" s="5"/>
      <c r="E38" s="5">
        <f>'Series Detail'!S40</f>
        <v>45486651.25</v>
      </c>
      <c r="F38" s="8"/>
      <c r="G38" s="5">
        <f>'Series Detail'!T40</f>
        <v>164171129.69999999</v>
      </c>
      <c r="H38" s="5"/>
      <c r="I38" s="5">
        <f>'Series Detail'!U40</f>
        <v>0</v>
      </c>
      <c r="J38" s="5"/>
      <c r="K38" s="5">
        <f t="shared" si="0"/>
        <v>226276651.25</v>
      </c>
      <c r="L38" s="5"/>
      <c r="M38" s="4"/>
      <c r="P38" s="143"/>
    </row>
    <row r="39" spans="1:16" ht="13.8" x14ac:dyDescent="0.25">
      <c r="A39" s="8">
        <f t="shared" si="1"/>
        <v>49841</v>
      </c>
      <c r="B39" s="8"/>
      <c r="C39" s="5">
        <f>'Series Detail'!R41</f>
        <v>12585084.300000001</v>
      </c>
      <c r="D39" s="5"/>
      <c r="E39" s="5">
        <f>'Series Detail'!S41</f>
        <v>45371108.75</v>
      </c>
      <c r="F39" s="8"/>
      <c r="G39" s="5">
        <f>'Series Detail'!T41</f>
        <v>98339915.700000003</v>
      </c>
      <c r="H39" s="5"/>
      <c r="I39" s="5">
        <f>'Series Detail'!U41</f>
        <v>0</v>
      </c>
      <c r="J39" s="5"/>
      <c r="K39" s="5">
        <f t="shared" si="0"/>
        <v>156296108.75</v>
      </c>
      <c r="L39" s="5"/>
      <c r="M39" s="5">
        <f>+K38+K39</f>
        <v>382572760</v>
      </c>
      <c r="P39" s="143"/>
    </row>
    <row r="40" spans="1:16" ht="13.8" x14ac:dyDescent="0.25">
      <c r="A40" s="8">
        <f t="shared" si="1"/>
        <v>50024</v>
      </c>
      <c r="B40" s="8"/>
      <c r="C40" s="5">
        <f>'Series Detail'!R42</f>
        <v>16084237.5</v>
      </c>
      <c r="D40" s="5"/>
      <c r="E40" s="5">
        <f>'Series Detail'!S42</f>
        <v>45353983.75</v>
      </c>
      <c r="F40" s="8"/>
      <c r="G40" s="5">
        <f>'Series Detail'!T42</f>
        <v>164935762.5</v>
      </c>
      <c r="H40" s="5"/>
      <c r="I40" s="5">
        <f>'Series Detail'!U42</f>
        <v>0</v>
      </c>
      <c r="J40" s="5"/>
      <c r="K40" s="5">
        <f t="shared" si="0"/>
        <v>226373983.75</v>
      </c>
      <c r="L40" s="5"/>
      <c r="M40" s="4"/>
      <c r="P40" s="143"/>
    </row>
    <row r="41" spans="1:16" ht="13.8" x14ac:dyDescent="0.25">
      <c r="A41" s="8">
        <f t="shared" si="1"/>
        <v>50206</v>
      </c>
      <c r="B41" s="8"/>
      <c r="C41" s="5">
        <f>'Series Detail'!R43</f>
        <v>12113489.200000001</v>
      </c>
      <c r="D41" s="5"/>
      <c r="E41" s="5">
        <f>'Series Detail'!S43</f>
        <v>45233188.75</v>
      </c>
      <c r="F41" s="8"/>
      <c r="G41" s="5">
        <f>'Series Detail'!T43</f>
        <v>98851510.799999997</v>
      </c>
      <c r="H41" s="5"/>
      <c r="I41" s="5">
        <f>'Series Detail'!U43</f>
        <v>0</v>
      </c>
      <c r="J41" s="5"/>
      <c r="K41" s="5">
        <f t="shared" si="0"/>
        <v>156198188.75</v>
      </c>
      <c r="L41" s="5"/>
      <c r="M41" s="5">
        <f>+K40+K41</f>
        <v>382572172.5</v>
      </c>
      <c r="P41" s="143"/>
    </row>
    <row r="42" spans="1:16" ht="13.8" x14ac:dyDescent="0.25">
      <c r="A42" s="8">
        <f t="shared" si="1"/>
        <v>50389</v>
      </c>
      <c r="B42" s="8"/>
      <c r="C42" s="5">
        <f>'Series Detail'!R44</f>
        <v>15593772.15</v>
      </c>
      <c r="D42" s="5"/>
      <c r="E42" s="5">
        <f>'Series Detail'!S44</f>
        <v>45214688.75</v>
      </c>
      <c r="F42" s="8"/>
      <c r="G42" s="5">
        <f>'Series Detail'!T44</f>
        <v>165641227.84999999</v>
      </c>
      <c r="H42" s="5"/>
      <c r="I42" s="5">
        <f>'Series Detail'!U44</f>
        <v>0</v>
      </c>
      <c r="J42" s="5"/>
      <c r="K42" s="5">
        <f t="shared" si="0"/>
        <v>226449688.75</v>
      </c>
      <c r="L42" s="5"/>
      <c r="M42" s="4"/>
      <c r="P42" s="143"/>
    </row>
    <row r="43" spans="1:16" ht="13.8" x14ac:dyDescent="0.25">
      <c r="A43" s="8">
        <f t="shared" si="1"/>
        <v>50571</v>
      </c>
      <c r="B43" s="8"/>
      <c r="C43" s="5">
        <f>'Series Detail'!R45</f>
        <v>11683898</v>
      </c>
      <c r="D43" s="5"/>
      <c r="E43" s="5">
        <f>'Series Detail'!S45</f>
        <v>45088641.25</v>
      </c>
      <c r="F43" s="8"/>
      <c r="G43" s="5">
        <f>'Series Detail'!T45</f>
        <v>99346102</v>
      </c>
      <c r="H43" s="5"/>
      <c r="I43" s="5">
        <f>'Series Detail'!U45</f>
        <v>0</v>
      </c>
      <c r="J43" s="5"/>
      <c r="K43" s="5">
        <f t="shared" si="0"/>
        <v>156118641.25</v>
      </c>
      <c r="L43" s="5"/>
      <c r="M43" s="5">
        <f>+K42+K43</f>
        <v>382568330</v>
      </c>
      <c r="P43" s="143"/>
    </row>
    <row r="44" spans="1:16" ht="13.8" x14ac:dyDescent="0.25">
      <c r="A44" s="8">
        <f t="shared" si="1"/>
        <v>50754</v>
      </c>
      <c r="B44" s="8"/>
      <c r="C44" s="5">
        <f>'Series Detail'!R46</f>
        <v>15116522.100000001</v>
      </c>
      <c r="D44" s="5"/>
      <c r="E44" s="5">
        <f>'Series Detail'!S46</f>
        <v>45068641.25</v>
      </c>
      <c r="F44" s="8"/>
      <c r="G44" s="5">
        <f>'Series Detail'!T46</f>
        <v>166353477.89999998</v>
      </c>
      <c r="H44" s="5"/>
      <c r="I44" s="5">
        <f>'Series Detail'!U46</f>
        <v>0</v>
      </c>
      <c r="J44" s="5"/>
      <c r="K44" s="5">
        <f t="shared" si="0"/>
        <v>226538641.24999997</v>
      </c>
      <c r="L44" s="5"/>
      <c r="M44" s="4"/>
      <c r="P44" s="143"/>
    </row>
    <row r="45" spans="1:16" ht="13.8" x14ac:dyDescent="0.25">
      <c r="A45" s="8">
        <f t="shared" si="1"/>
        <v>50936</v>
      </c>
      <c r="B45" s="8"/>
      <c r="C45" s="5">
        <f>'Series Detail'!R47</f>
        <v>11282906.85</v>
      </c>
      <c r="D45" s="5"/>
      <c r="E45" s="5">
        <f>'Series Detail'!S47</f>
        <v>44934002.5</v>
      </c>
      <c r="F45" s="8"/>
      <c r="G45" s="5">
        <f>'Series Detail'!T47</f>
        <v>99817093.149999991</v>
      </c>
      <c r="H45" s="5"/>
      <c r="I45" s="5">
        <f>'Series Detail'!U47</f>
        <v>0</v>
      </c>
      <c r="J45" s="5"/>
      <c r="K45" s="5">
        <f t="shared" si="0"/>
        <v>156034002.5</v>
      </c>
      <c r="L45" s="5"/>
      <c r="M45" s="5">
        <f>+K44+K45</f>
        <v>382572643.75</v>
      </c>
      <c r="P45" s="143"/>
    </row>
    <row r="46" spans="1:16" ht="13.8" x14ac:dyDescent="0.25">
      <c r="A46" s="8">
        <f t="shared" si="1"/>
        <v>51119</v>
      </c>
      <c r="B46" s="8"/>
      <c r="C46" s="5">
        <f>'Series Detail'!R48</f>
        <v>14710901.649999999</v>
      </c>
      <c r="D46" s="5"/>
      <c r="E46" s="5">
        <f>'Series Detail'!S48</f>
        <v>44912377.5</v>
      </c>
      <c r="F46" s="8"/>
      <c r="G46" s="5">
        <f>'Series Detail'!T48</f>
        <v>166994098.35000002</v>
      </c>
      <c r="H46" s="5"/>
      <c r="I46" s="5">
        <f>'Series Detail'!U48</f>
        <v>0</v>
      </c>
      <c r="J46" s="5"/>
      <c r="K46" s="5">
        <f t="shared" si="0"/>
        <v>226617377.50000003</v>
      </c>
      <c r="L46" s="5"/>
      <c r="M46" s="4"/>
      <c r="P46" s="143"/>
    </row>
    <row r="47" spans="1:16" ht="13.8" x14ac:dyDescent="0.25">
      <c r="A47" s="8">
        <f t="shared" si="1"/>
        <v>51302</v>
      </c>
      <c r="B47" s="8"/>
      <c r="C47" s="5">
        <f>'Series Detail'!R49</f>
        <v>10891510.299999999</v>
      </c>
      <c r="D47" s="5"/>
      <c r="E47" s="5">
        <f>'Series Detail'!S49</f>
        <v>44771627.5</v>
      </c>
      <c r="F47" s="8"/>
      <c r="G47" s="5">
        <f>'Series Detail'!T49</f>
        <v>100288489.7</v>
      </c>
      <c r="H47" s="5"/>
      <c r="I47" s="5">
        <f>'Series Detail'!U49</f>
        <v>0</v>
      </c>
      <c r="J47" s="5"/>
      <c r="K47" s="5">
        <f t="shared" si="0"/>
        <v>155951627.5</v>
      </c>
      <c r="L47" s="5"/>
      <c r="M47" s="5">
        <f>+K46+K47</f>
        <v>382569005</v>
      </c>
      <c r="P47" s="143"/>
    </row>
    <row r="48" spans="1:16" ht="13.8" x14ac:dyDescent="0.25">
      <c r="A48" s="8">
        <f t="shared" si="1"/>
        <v>51485</v>
      </c>
      <c r="B48" s="8"/>
      <c r="C48" s="5">
        <f>'Series Detail'!R50</f>
        <v>14347759.35</v>
      </c>
      <c r="D48" s="5"/>
      <c r="E48" s="5">
        <f>'Series Detail'!S50</f>
        <v>44748377.5</v>
      </c>
      <c r="F48" s="8"/>
      <c r="G48" s="5">
        <f>'Series Detail'!T50</f>
        <v>167632240.65000001</v>
      </c>
      <c r="H48" s="5"/>
      <c r="I48" s="5">
        <f>'Series Detail'!U50</f>
        <v>0</v>
      </c>
      <c r="J48" s="5"/>
      <c r="K48" s="5">
        <f t="shared" si="0"/>
        <v>226728377.5</v>
      </c>
      <c r="L48" s="5"/>
      <c r="M48" s="4"/>
      <c r="P48" s="143"/>
    </row>
    <row r="49" spans="1:16" ht="13.8" x14ac:dyDescent="0.25">
      <c r="A49" s="8">
        <f t="shared" si="1"/>
        <v>51667</v>
      </c>
      <c r="B49" s="8"/>
      <c r="C49" s="5">
        <f>'Series Detail'!R51</f>
        <v>23296887.5</v>
      </c>
      <c r="D49" s="5"/>
      <c r="E49" s="5">
        <f>'Series Detail'!S51</f>
        <v>44601148.75</v>
      </c>
      <c r="F49" s="8"/>
      <c r="G49" s="5">
        <f>'Series Detail'!T51</f>
        <v>87942969.099999994</v>
      </c>
      <c r="H49" s="5"/>
      <c r="I49" s="5">
        <f>'Series Detail'!U51</f>
        <v>0</v>
      </c>
      <c r="J49" s="5"/>
      <c r="K49" s="5">
        <f t="shared" si="0"/>
        <v>155841005.34999999</v>
      </c>
      <c r="L49" s="5"/>
      <c r="M49" s="5">
        <f>+K48+K49</f>
        <v>382569382.85000002</v>
      </c>
      <c r="P49" s="143"/>
    </row>
    <row r="50" spans="1:16" ht="13.8" x14ac:dyDescent="0.25">
      <c r="A50" s="8">
        <f t="shared" si="1"/>
        <v>51850</v>
      </c>
      <c r="B50" s="8"/>
      <c r="C50" s="5">
        <f>'Series Detail'!R52</f>
        <v>146610181</v>
      </c>
      <c r="D50" s="5"/>
      <c r="E50" s="5">
        <f>'Series Detail'!S52</f>
        <v>44577773.75</v>
      </c>
      <c r="F50" s="8"/>
      <c r="G50" s="5">
        <f>'Series Detail'!T52</f>
        <v>39654819</v>
      </c>
      <c r="H50" s="5"/>
      <c r="I50" s="5">
        <f>'Series Detail'!U52</f>
        <v>0</v>
      </c>
      <c r="J50" s="5"/>
      <c r="K50" s="5">
        <f t="shared" si="0"/>
        <v>230842773.75</v>
      </c>
      <c r="L50" s="5"/>
      <c r="M50" s="4"/>
      <c r="P50" s="143"/>
    </row>
    <row r="51" spans="1:16" ht="13.8" x14ac:dyDescent="0.25">
      <c r="A51" s="8">
        <f t="shared" si="1"/>
        <v>52032</v>
      </c>
      <c r="B51" s="8"/>
      <c r="C51" s="5">
        <f>'Series Detail'!R53</f>
        <v>109860000</v>
      </c>
      <c r="D51" s="5"/>
      <c r="E51" s="5">
        <f>'Series Detail'!S53</f>
        <v>41869481.25</v>
      </c>
      <c r="F51" s="8"/>
      <c r="G51" s="5">
        <f>'Series Detail'!T53</f>
        <v>0</v>
      </c>
      <c r="H51" s="5"/>
      <c r="I51" s="5">
        <f>'Series Detail'!U53</f>
        <v>0</v>
      </c>
      <c r="J51" s="5"/>
      <c r="K51" s="5">
        <f t="shared" si="0"/>
        <v>151729481.25</v>
      </c>
      <c r="L51" s="5"/>
      <c r="M51" s="5">
        <f>+K50+K51</f>
        <v>382572255</v>
      </c>
      <c r="P51" s="143"/>
    </row>
    <row r="52" spans="1:16" ht="13.8" x14ac:dyDescent="0.25">
      <c r="A52" s="8">
        <f t="shared" si="1"/>
        <v>52215</v>
      </c>
      <c r="B52" s="8"/>
      <c r="C52" s="5">
        <f>'Series Detail'!R54</f>
        <v>34993967.5</v>
      </c>
      <c r="D52" s="5"/>
      <c r="E52" s="5">
        <f>'Series Detail'!S54</f>
        <v>39344731.25</v>
      </c>
      <c r="F52" s="8"/>
      <c r="G52" s="5">
        <f>'Series Detail'!T54</f>
        <v>2206032.5</v>
      </c>
      <c r="H52" s="5"/>
      <c r="I52" s="5">
        <f>'Series Detail'!U54</f>
        <v>0</v>
      </c>
      <c r="J52" s="5"/>
      <c r="K52" s="5">
        <f t="shared" si="0"/>
        <v>76544731.25</v>
      </c>
      <c r="L52" s="5"/>
      <c r="M52" s="4"/>
      <c r="P52" s="143"/>
    </row>
    <row r="53" spans="1:16" ht="13.8" x14ac:dyDescent="0.25">
      <c r="A53" s="8">
        <f t="shared" si="1"/>
        <v>52397</v>
      </c>
      <c r="B53" s="8"/>
      <c r="C53" s="5">
        <f>'Series Detail'!R55</f>
        <v>36068329.5</v>
      </c>
      <c r="D53" s="5"/>
      <c r="E53" s="5">
        <f>'Series Detail'!S55</f>
        <v>38557750</v>
      </c>
      <c r="F53" s="8"/>
      <c r="G53" s="5">
        <f>'Series Detail'!T55</f>
        <v>231401670.5</v>
      </c>
      <c r="H53" s="5"/>
      <c r="I53" s="5">
        <f>'Series Detail'!U55</f>
        <v>0</v>
      </c>
      <c r="J53" s="5"/>
      <c r="K53" s="5">
        <f t="shared" si="0"/>
        <v>306027750</v>
      </c>
      <c r="L53" s="5"/>
      <c r="M53" s="5">
        <f>+K52+K53</f>
        <v>382572481.25</v>
      </c>
      <c r="P53" s="143"/>
    </row>
    <row r="54" spans="1:16" ht="13.8" x14ac:dyDescent="0.25">
      <c r="A54" s="8">
        <f t="shared" si="1"/>
        <v>52580</v>
      </c>
      <c r="B54" s="8"/>
      <c r="C54" s="5">
        <f>'Series Detail'!R56</f>
        <v>36458537.600000001</v>
      </c>
      <c r="D54" s="5"/>
      <c r="E54" s="5">
        <f>'Series Detail'!S56</f>
        <v>38557750</v>
      </c>
      <c r="F54" s="8"/>
      <c r="G54" s="5">
        <f>'Series Detail'!T56</f>
        <v>2351462.3999999999</v>
      </c>
      <c r="H54" s="5"/>
      <c r="I54" s="5">
        <f>'Series Detail'!U56</f>
        <v>0</v>
      </c>
      <c r="J54" s="5"/>
      <c r="K54" s="5">
        <f t="shared" si="0"/>
        <v>77367750</v>
      </c>
      <c r="L54" s="5"/>
      <c r="M54" s="4"/>
      <c r="P54" s="143"/>
    </row>
    <row r="55" spans="1:16" ht="13.8" x14ac:dyDescent="0.25">
      <c r="A55" s="8">
        <f t="shared" si="1"/>
        <v>52763</v>
      </c>
      <c r="B55" s="8"/>
      <c r="C55" s="5">
        <f>'Series Detail'!R57</f>
        <v>33701220</v>
      </c>
      <c r="D55" s="5"/>
      <c r="E55" s="5">
        <f>'Series Detail'!S57</f>
        <v>37733965</v>
      </c>
      <c r="F55" s="8"/>
      <c r="G55" s="5">
        <f>'Series Detail'!T57</f>
        <v>233768780</v>
      </c>
      <c r="H55" s="5"/>
      <c r="I55" s="5">
        <f>'Series Detail'!U57</f>
        <v>0</v>
      </c>
      <c r="J55" s="5"/>
      <c r="K55" s="5">
        <f t="shared" si="0"/>
        <v>305203965</v>
      </c>
      <c r="L55" s="5"/>
      <c r="M55" s="5">
        <f>+K54+K55</f>
        <v>382571715</v>
      </c>
      <c r="P55" s="143"/>
    </row>
    <row r="56" spans="1:16" ht="13.8" x14ac:dyDescent="0.25">
      <c r="A56" s="8">
        <f t="shared" si="1"/>
        <v>52946</v>
      </c>
      <c r="B56" s="8"/>
      <c r="C56" s="5">
        <f>'Series Detail'!R58</f>
        <v>38027577.600000001</v>
      </c>
      <c r="D56" s="5"/>
      <c r="E56" s="5">
        <f>'Series Detail'!S58</f>
        <v>37733965</v>
      </c>
      <c r="F56" s="8"/>
      <c r="G56" s="5">
        <f>'Series Detail'!T58</f>
        <v>2472422.3999999999</v>
      </c>
      <c r="H56" s="5"/>
      <c r="I56" s="5">
        <f>'Series Detail'!U58</f>
        <v>0</v>
      </c>
      <c r="J56" s="5"/>
      <c r="K56" s="5">
        <f t="shared" si="0"/>
        <v>78233965</v>
      </c>
      <c r="L56" s="5"/>
      <c r="M56" s="4"/>
      <c r="P56" s="143"/>
    </row>
    <row r="57" spans="1:16" ht="13.8" x14ac:dyDescent="0.25">
      <c r="A57" s="8">
        <f t="shared" si="1"/>
        <v>53128</v>
      </c>
      <c r="B57" s="8"/>
      <c r="C57" s="5">
        <f>'Series Detail'!R59</f>
        <v>31689253.199999999</v>
      </c>
      <c r="D57" s="5"/>
      <c r="E57" s="5">
        <f>'Series Detail'!S59</f>
        <v>36873917.5</v>
      </c>
      <c r="F57" s="8"/>
      <c r="G57" s="5">
        <f>'Series Detail'!T59</f>
        <v>235775746.80000001</v>
      </c>
      <c r="H57" s="5"/>
      <c r="I57" s="5">
        <f>'Series Detail'!U59</f>
        <v>0</v>
      </c>
      <c r="J57" s="5"/>
      <c r="K57" s="5">
        <f t="shared" si="0"/>
        <v>304338917.5</v>
      </c>
      <c r="L57" s="5"/>
      <c r="M57" s="5">
        <f>+K56+K57</f>
        <v>382572882.5</v>
      </c>
      <c r="P57" s="143"/>
    </row>
    <row r="58" spans="1:16" ht="13.8" x14ac:dyDescent="0.25">
      <c r="A58" s="8">
        <f t="shared" si="1"/>
        <v>53311</v>
      </c>
      <c r="B58" s="8"/>
      <c r="C58" s="5">
        <f>'Series Detail'!R60</f>
        <v>39654198.399999999</v>
      </c>
      <c r="D58" s="5"/>
      <c r="E58" s="5">
        <f>'Series Detail'!S60</f>
        <v>36873917.5</v>
      </c>
      <c r="F58" s="8"/>
      <c r="G58" s="5">
        <f>'Series Detail'!T60</f>
        <v>2595801.6</v>
      </c>
      <c r="H58" s="5"/>
      <c r="I58" s="5">
        <f>'Series Detail'!U60</f>
        <v>0</v>
      </c>
      <c r="J58" s="5"/>
      <c r="K58" s="5">
        <f t="shared" si="0"/>
        <v>79123917.5</v>
      </c>
      <c r="L58" s="5"/>
      <c r="M58" s="4"/>
      <c r="P58" s="143"/>
    </row>
    <row r="59" spans="1:16" ht="13.8" x14ac:dyDescent="0.25">
      <c r="A59" s="8">
        <f t="shared" si="1"/>
        <v>53493</v>
      </c>
      <c r="B59" s="8"/>
      <c r="C59" s="5">
        <f>'Series Detail'!R61</f>
        <v>29798832.699999999</v>
      </c>
      <c r="D59" s="5"/>
      <c r="E59" s="5">
        <f>'Series Detail'!S61</f>
        <v>35976358.75</v>
      </c>
      <c r="F59" s="8"/>
      <c r="G59" s="5">
        <f>'Series Detail'!T61</f>
        <v>237671167.30000001</v>
      </c>
      <c r="H59" s="5"/>
      <c r="I59" s="5">
        <f>'Series Detail'!U61</f>
        <v>0</v>
      </c>
      <c r="J59" s="5"/>
      <c r="K59" s="5">
        <f t="shared" si="0"/>
        <v>303446358.75</v>
      </c>
      <c r="L59" s="5"/>
      <c r="M59" s="5">
        <f>+K58+K59</f>
        <v>382570276.25</v>
      </c>
      <c r="P59" s="143"/>
    </row>
    <row r="60" spans="1:16" ht="13.8" x14ac:dyDescent="0.25">
      <c r="A60" s="8">
        <f t="shared" si="1"/>
        <v>53676</v>
      </c>
      <c r="B60" s="8"/>
      <c r="C60" s="5">
        <f>'Series Detail'!R62</f>
        <v>96611142.400000006</v>
      </c>
      <c r="D60" s="5"/>
      <c r="E60" s="5">
        <f>'Series Detail'!S62</f>
        <v>35976358.75</v>
      </c>
      <c r="F60" s="8"/>
      <c r="G60" s="5">
        <f>'Series Detail'!T62</f>
        <v>2728857.6000000001</v>
      </c>
      <c r="H60" s="5"/>
      <c r="I60" s="5">
        <f>'Series Detail'!U62</f>
        <v>0</v>
      </c>
      <c r="J60" s="5"/>
      <c r="K60" s="5">
        <f t="shared" si="0"/>
        <v>135316358.75</v>
      </c>
      <c r="L60" s="5"/>
      <c r="M60" s="4"/>
      <c r="P60" s="143"/>
    </row>
    <row r="61" spans="1:16" ht="13.8" x14ac:dyDescent="0.25">
      <c r="A61" s="8">
        <f t="shared" si="1"/>
        <v>53858</v>
      </c>
      <c r="B61" s="8"/>
      <c r="C61" s="5">
        <f>'Series Detail'!R63</f>
        <v>22376212.199999999</v>
      </c>
      <c r="D61" s="5"/>
      <c r="E61" s="5">
        <f>'Series Detail'!S63</f>
        <v>33658043.75</v>
      </c>
      <c r="F61" s="8"/>
      <c r="G61" s="5">
        <f>'Series Detail'!T63</f>
        <v>191218787.80000001</v>
      </c>
      <c r="H61" s="5"/>
      <c r="I61" s="5">
        <f>'Series Detail'!U63</f>
        <v>0</v>
      </c>
      <c r="J61" s="5"/>
      <c r="K61" s="5">
        <f t="shared" si="0"/>
        <v>247253043.75</v>
      </c>
      <c r="L61" s="5"/>
      <c r="M61" s="5">
        <f>+K60+K61</f>
        <v>382569402.5</v>
      </c>
      <c r="P61" s="143"/>
    </row>
    <row r="62" spans="1:16" ht="13.8" x14ac:dyDescent="0.25">
      <c r="A62" s="8">
        <f t="shared" si="1"/>
        <v>54041</v>
      </c>
      <c r="B62" s="8"/>
      <c r="C62" s="5">
        <f>'Series Detail'!R64</f>
        <v>195348248</v>
      </c>
      <c r="D62" s="5"/>
      <c r="E62" s="5">
        <f>'Series Detail'!S64</f>
        <v>33658043.75</v>
      </c>
      <c r="F62" s="8"/>
      <c r="G62" s="5">
        <f>'Series Detail'!T64</f>
        <v>2866752</v>
      </c>
      <c r="H62" s="5"/>
      <c r="I62" s="5">
        <f>'Series Detail'!U64</f>
        <v>0</v>
      </c>
      <c r="J62" s="5"/>
      <c r="K62" s="5">
        <f t="shared" si="0"/>
        <v>231873043.75</v>
      </c>
      <c r="L62" s="5"/>
      <c r="M62" s="4"/>
      <c r="P62" s="143"/>
    </row>
    <row r="63" spans="1:16" ht="13.8" x14ac:dyDescent="0.25">
      <c r="A63" s="8">
        <f t="shared" si="1"/>
        <v>54224</v>
      </c>
      <c r="B63" s="8"/>
      <c r="C63" s="5">
        <f>'Series Detail'!R65</f>
        <v>121875000</v>
      </c>
      <c r="D63" s="5"/>
      <c r="E63" s="5">
        <f>'Series Detail'!S65</f>
        <v>28824225</v>
      </c>
      <c r="F63" s="8"/>
      <c r="G63" s="5">
        <f>'Series Detail'!T65</f>
        <v>0</v>
      </c>
      <c r="H63" s="5"/>
      <c r="I63" s="5">
        <f>'Series Detail'!U65</f>
        <v>0</v>
      </c>
      <c r="J63" s="5"/>
      <c r="K63" s="5">
        <f t="shared" si="0"/>
        <v>150699225</v>
      </c>
      <c r="L63" s="5"/>
      <c r="M63" s="5">
        <f>+K62+K63</f>
        <v>382572268.75</v>
      </c>
      <c r="P63" s="143"/>
    </row>
    <row r="64" spans="1:16" ht="13.8" x14ac:dyDescent="0.25">
      <c r="A64" s="8">
        <f t="shared" si="1"/>
        <v>54407</v>
      </c>
      <c r="B64" s="8"/>
      <c r="C64" s="5">
        <f>'Series Detail'!R66</f>
        <v>205370000</v>
      </c>
      <c r="D64" s="5"/>
      <c r="E64" s="5">
        <f>'Series Detail'!S66</f>
        <v>26200875</v>
      </c>
      <c r="F64" s="8"/>
      <c r="G64" s="5">
        <f>'Series Detail'!T66</f>
        <v>0</v>
      </c>
      <c r="H64" s="5"/>
      <c r="I64" s="5">
        <f>'Series Detail'!U66</f>
        <v>0</v>
      </c>
      <c r="J64" s="5"/>
      <c r="K64" s="5">
        <f t="shared" si="0"/>
        <v>231570875</v>
      </c>
      <c r="L64" s="5"/>
      <c r="M64" s="4"/>
      <c r="P64" s="143"/>
    </row>
    <row r="65" spans="1:16" ht="13.8" x14ac:dyDescent="0.25">
      <c r="A65" s="8">
        <f t="shared" si="1"/>
        <v>54589</v>
      </c>
      <c r="B65" s="8"/>
      <c r="C65" s="5">
        <f>'Series Detail'!R67</f>
        <v>124339595.3</v>
      </c>
      <c r="D65" s="5"/>
      <c r="E65" s="5">
        <f>'Series Detail'!S67</f>
        <v>21777300</v>
      </c>
      <c r="F65" s="8"/>
      <c r="G65" s="5">
        <f>'Series Detail'!T67</f>
        <v>4883964</v>
      </c>
      <c r="H65" s="5"/>
      <c r="I65" s="5">
        <f>'Series Detail'!U67</f>
        <v>0</v>
      </c>
      <c r="J65" s="5"/>
      <c r="K65" s="5">
        <f t="shared" si="0"/>
        <v>151000859.30000001</v>
      </c>
      <c r="L65" s="5"/>
      <c r="M65" s="5">
        <f>+K64+K65</f>
        <v>382571734.30000001</v>
      </c>
      <c r="P65" s="143"/>
    </row>
    <row r="66" spans="1:16" ht="13.8" x14ac:dyDescent="0.25">
      <c r="A66" s="8">
        <f t="shared" si="1"/>
        <v>54772</v>
      </c>
      <c r="B66" s="8"/>
      <c r="C66" s="5">
        <f>'Series Detail'!R68</f>
        <v>168226263.55000001</v>
      </c>
      <c r="D66" s="5"/>
      <c r="E66" s="5">
        <f>'Series Detail'!S68</f>
        <v>19128375</v>
      </c>
      <c r="F66" s="8"/>
      <c r="G66" s="5">
        <f>'Series Detail'!T68</f>
        <v>43898910.299999997</v>
      </c>
      <c r="H66" s="5"/>
      <c r="I66" s="5">
        <f>'Series Detail'!U68</f>
        <v>0</v>
      </c>
      <c r="J66" s="5"/>
      <c r="K66" s="5">
        <f t="shared" si="0"/>
        <v>231253548.85000002</v>
      </c>
      <c r="L66" s="5"/>
      <c r="M66" s="4"/>
      <c r="P66" s="143"/>
    </row>
    <row r="67" spans="1:16" ht="13.8" x14ac:dyDescent="0.25">
      <c r="A67" s="8">
        <f t="shared" si="1"/>
        <v>54954</v>
      </c>
      <c r="B67" s="8"/>
      <c r="C67" s="5">
        <f>'Series Detail'!R69</f>
        <v>135605000</v>
      </c>
      <c r="D67" s="5"/>
      <c r="E67" s="5">
        <f>'Series Detail'!S69</f>
        <v>15712350</v>
      </c>
      <c r="F67" s="8"/>
      <c r="G67" s="5">
        <f>'Series Detail'!T69</f>
        <v>0</v>
      </c>
      <c r="H67" s="5"/>
      <c r="I67" s="5">
        <f>'Series Detail'!U69</f>
        <v>0</v>
      </c>
      <c r="J67" s="5"/>
      <c r="K67" s="5">
        <f t="shared" si="0"/>
        <v>151317350</v>
      </c>
      <c r="L67" s="5"/>
      <c r="M67" s="5">
        <f>+K66+K67</f>
        <v>382570898.85000002</v>
      </c>
      <c r="P67" s="143"/>
    </row>
    <row r="68" spans="1:16" ht="13.8" x14ac:dyDescent="0.25">
      <c r="A68" s="8">
        <f t="shared" si="1"/>
        <v>55137</v>
      </c>
      <c r="B68" s="8"/>
      <c r="C68" s="5">
        <f>'Series Detail'!R70</f>
        <v>47170714.299999997</v>
      </c>
      <c r="D68" s="5"/>
      <c r="E68" s="5">
        <f>'Series Detail'!S70</f>
        <v>12820250</v>
      </c>
      <c r="F68" s="8"/>
      <c r="G68" s="5">
        <f>'Series Detail'!T70</f>
        <v>170938578.30000001</v>
      </c>
      <c r="H68" s="5"/>
      <c r="I68" s="5">
        <f>'Series Detail'!U70</f>
        <v>0</v>
      </c>
      <c r="J68" s="5"/>
      <c r="K68" s="5">
        <f t="shared" si="0"/>
        <v>230929542.60000002</v>
      </c>
      <c r="L68" s="5"/>
      <c r="M68" s="4"/>
      <c r="P68" s="143"/>
    </row>
    <row r="69" spans="1:16" ht="13.8" x14ac:dyDescent="0.25">
      <c r="A69" s="8">
        <f t="shared" si="1"/>
        <v>55319</v>
      </c>
      <c r="B69" s="8"/>
      <c r="C69" s="5">
        <f>'Series Detail'!R71</f>
        <v>28148139.350000001</v>
      </c>
      <c r="D69" s="5"/>
      <c r="E69" s="5">
        <f>'Series Detail'!S71</f>
        <v>12309875</v>
      </c>
      <c r="F69" s="8"/>
      <c r="G69" s="5">
        <f>'Series Detail'!T71</f>
        <v>111183089.55</v>
      </c>
      <c r="H69" s="5"/>
      <c r="I69" s="5">
        <f>'Series Detail'!U71</f>
        <v>0</v>
      </c>
      <c r="J69" s="5"/>
      <c r="K69" s="5">
        <f t="shared" si="0"/>
        <v>151641103.90000001</v>
      </c>
      <c r="L69" s="5"/>
      <c r="M69" s="5">
        <f>+K68+K69</f>
        <v>382570646.5</v>
      </c>
      <c r="P69" s="143"/>
    </row>
    <row r="70" spans="1:16" ht="13.8" x14ac:dyDescent="0.25">
      <c r="A70" s="8">
        <f t="shared" si="1"/>
        <v>55502</v>
      </c>
      <c r="B70" s="8"/>
      <c r="C70" s="5">
        <f>'Series Detail'!R72</f>
        <v>68323118.25</v>
      </c>
      <c r="D70" s="5"/>
      <c r="E70" s="5">
        <f>'Series Detail'!S72</f>
        <v>12017525</v>
      </c>
      <c r="F70" s="8"/>
      <c r="G70" s="5">
        <f>'Series Detail'!T72</f>
        <v>150258121.25</v>
      </c>
      <c r="H70" s="5"/>
      <c r="I70" s="5">
        <f>'Series Detail'!U72</f>
        <v>0</v>
      </c>
      <c r="J70" s="5"/>
      <c r="K70" s="5">
        <f t="shared" si="0"/>
        <v>230598764.5</v>
      </c>
      <c r="L70" s="5"/>
      <c r="M70" s="4"/>
      <c r="P70" s="143"/>
    </row>
    <row r="71" spans="1:16" ht="13.8" x14ac:dyDescent="0.25">
      <c r="A71" s="8">
        <f t="shared" si="1"/>
        <v>55685</v>
      </c>
      <c r="B71" s="8"/>
      <c r="C71" s="5">
        <f>'Series Detail'!R73</f>
        <v>140970000</v>
      </c>
      <c r="D71" s="5"/>
      <c r="E71" s="5">
        <f>'Series Detail'!S73</f>
        <v>11003850</v>
      </c>
      <c r="F71" s="8"/>
      <c r="G71" s="5">
        <f>'Series Detail'!T73</f>
        <v>0</v>
      </c>
      <c r="H71" s="5"/>
      <c r="I71" s="5">
        <f>'Series Detail'!U73</f>
        <v>0</v>
      </c>
      <c r="J71" s="5"/>
      <c r="K71" s="5">
        <f t="shared" ref="K71:K87" si="2">SUM(C71:J71)</f>
        <v>151973850</v>
      </c>
      <c r="L71" s="5"/>
      <c r="M71" s="5">
        <f>+K70+K71</f>
        <v>382572614.5</v>
      </c>
      <c r="P71" s="143"/>
    </row>
    <row r="72" spans="1:16" ht="13.8" x14ac:dyDescent="0.25">
      <c r="A72" s="8">
        <f t="shared" ref="A72:A87" si="3">EDATE(A71,6)</f>
        <v>55868</v>
      </c>
      <c r="B72" s="8"/>
      <c r="C72" s="5">
        <f>'Series Detail'!R74</f>
        <v>24777137.699999999</v>
      </c>
      <c r="D72" s="5"/>
      <c r="E72" s="5">
        <f>'Series Detail'!S74</f>
        <v>8175750</v>
      </c>
      <c r="F72" s="8"/>
      <c r="G72" s="5">
        <f>'Series Detail'!T74</f>
        <v>176794160.5</v>
      </c>
      <c r="H72" s="5"/>
      <c r="I72" s="5">
        <f>'Series Detail'!U74</f>
        <v>0</v>
      </c>
      <c r="J72" s="5"/>
      <c r="K72" s="5">
        <f t="shared" si="2"/>
        <v>209747048.19999999</v>
      </c>
      <c r="L72" s="5"/>
      <c r="M72" s="4"/>
      <c r="P72" s="143"/>
    </row>
    <row r="73" spans="1:16" ht="13.8" x14ac:dyDescent="0.25">
      <c r="A73" s="8">
        <f t="shared" si="3"/>
        <v>56050</v>
      </c>
      <c r="B73" s="8"/>
      <c r="C73" s="5">
        <f>'Series Detail'!R75</f>
        <v>129335000</v>
      </c>
      <c r="D73" s="5"/>
      <c r="E73" s="5">
        <f>'Series Detail'!S75</f>
        <v>8158500</v>
      </c>
      <c r="F73" s="8"/>
      <c r="G73" s="5">
        <f>'Series Detail'!T75</f>
        <v>0</v>
      </c>
      <c r="H73" s="5"/>
      <c r="I73" s="5">
        <f>'Series Detail'!U75</f>
        <v>0</v>
      </c>
      <c r="J73" s="5"/>
      <c r="K73" s="5">
        <f t="shared" si="2"/>
        <v>137493500</v>
      </c>
      <c r="L73" s="5"/>
      <c r="M73" s="5">
        <f>+K72+K73</f>
        <v>347240548.19999999</v>
      </c>
      <c r="P73" s="143"/>
    </row>
    <row r="74" spans="1:16" ht="13.8" x14ac:dyDescent="0.25">
      <c r="A74" s="8">
        <f t="shared" si="3"/>
        <v>56233</v>
      </c>
      <c r="B74" s="8"/>
      <c r="C74" s="5">
        <f>'Series Detail'!R76</f>
        <v>32548480.649999999</v>
      </c>
      <c r="D74" s="5"/>
      <c r="E74" s="5">
        <f>'Series Detail'!S76</f>
        <v>4750125</v>
      </c>
      <c r="F74" s="8"/>
      <c r="G74" s="5">
        <f>'Series Detail'!T76</f>
        <v>177986684.5</v>
      </c>
      <c r="H74" s="5"/>
      <c r="I74" s="5">
        <f>'Series Detail'!U76</f>
        <v>0</v>
      </c>
      <c r="J74" s="5"/>
      <c r="K74" s="5">
        <f t="shared" si="2"/>
        <v>215285290.15000001</v>
      </c>
      <c r="L74" s="5"/>
      <c r="M74" s="4"/>
      <c r="P74" s="143"/>
    </row>
    <row r="75" spans="1:16" ht="13.8" x14ac:dyDescent="0.25">
      <c r="A75" s="8">
        <f t="shared" si="3"/>
        <v>56415</v>
      </c>
      <c r="B75" s="8"/>
      <c r="C75" s="5">
        <f>'Series Detail'!R77</f>
        <v>36149432</v>
      </c>
      <c r="D75" s="5"/>
      <c r="E75" s="5">
        <f>'Series Detail'!S77</f>
        <v>4750125</v>
      </c>
      <c r="F75" s="8"/>
      <c r="G75" s="5">
        <f>'Series Detail'!T77</f>
        <v>91058660</v>
      </c>
      <c r="H75" s="5"/>
      <c r="I75" s="5">
        <f>'Series Detail'!U77</f>
        <v>0</v>
      </c>
      <c r="J75" s="5"/>
      <c r="K75" s="5">
        <f t="shared" si="2"/>
        <v>131958217</v>
      </c>
      <c r="L75" s="5"/>
      <c r="M75" s="5">
        <f>+K74+K75</f>
        <v>347243507.14999998</v>
      </c>
      <c r="P75" s="143"/>
    </row>
    <row r="76" spans="1:16" ht="13.8" x14ac:dyDescent="0.25">
      <c r="A76" s="8">
        <f t="shared" si="3"/>
        <v>56598</v>
      </c>
      <c r="B76" s="8"/>
      <c r="C76" s="5">
        <f>'Series Detail'!R78</f>
        <v>30978571.5</v>
      </c>
      <c r="D76" s="5"/>
      <c r="E76" s="5">
        <f>'Series Detail'!S78</f>
        <v>4250125</v>
      </c>
      <c r="F76" s="8"/>
      <c r="G76" s="5">
        <f>'Series Detail'!T78</f>
        <v>180062062</v>
      </c>
      <c r="H76" s="5"/>
      <c r="I76" s="5">
        <f>'Series Detail'!U78</f>
        <v>0</v>
      </c>
      <c r="J76" s="5"/>
      <c r="K76" s="5">
        <f t="shared" si="2"/>
        <v>215290758.5</v>
      </c>
      <c r="L76" s="5"/>
      <c r="M76" s="4"/>
      <c r="P76" s="143"/>
    </row>
    <row r="77" spans="1:16" ht="13.8" x14ac:dyDescent="0.25">
      <c r="A77" s="8">
        <f t="shared" si="3"/>
        <v>56780</v>
      </c>
      <c r="B77" s="8"/>
      <c r="C77" s="5">
        <f>'Series Detail'!R79</f>
        <v>35404535.299999997</v>
      </c>
      <c r="D77" s="5"/>
      <c r="E77" s="5">
        <f>'Series Detail'!S79</f>
        <v>4250125</v>
      </c>
      <c r="F77" s="8"/>
      <c r="G77" s="5">
        <f>'Series Detail'!T79</f>
        <v>92299160.799999997</v>
      </c>
      <c r="H77" s="5"/>
      <c r="I77" s="5">
        <f>'Series Detail'!U79</f>
        <v>0</v>
      </c>
      <c r="J77" s="5"/>
      <c r="K77" s="5">
        <f t="shared" si="2"/>
        <v>131953821.09999999</v>
      </c>
      <c r="L77" s="5"/>
      <c r="M77" s="5">
        <f>+K76+K77</f>
        <v>347244579.60000002</v>
      </c>
      <c r="P77" s="143"/>
    </row>
    <row r="78" spans="1:16" ht="13.8" x14ac:dyDescent="0.25">
      <c r="A78" s="8">
        <f t="shared" si="3"/>
        <v>56963</v>
      </c>
      <c r="B78" s="8"/>
      <c r="C78" s="5">
        <f>'Series Detail'!R80</f>
        <v>42944037.049999997</v>
      </c>
      <c r="D78" s="5"/>
      <c r="E78" s="5">
        <f>'Series Detail'!S80</f>
        <v>3750125</v>
      </c>
      <c r="F78" s="8"/>
      <c r="G78" s="5">
        <f>'Series Detail'!T80</f>
        <v>141683286.59999999</v>
      </c>
      <c r="H78" s="5"/>
      <c r="I78" s="5">
        <f>'Series Detail'!U80</f>
        <v>0</v>
      </c>
      <c r="J78" s="5"/>
      <c r="K78" s="5">
        <f t="shared" si="2"/>
        <v>188377448.64999998</v>
      </c>
      <c r="L78" s="5"/>
      <c r="M78" s="4"/>
      <c r="P78" s="143"/>
    </row>
    <row r="79" spans="1:16" ht="13.8" x14ac:dyDescent="0.25">
      <c r="A79" s="8">
        <f t="shared" si="3"/>
        <v>57146</v>
      </c>
      <c r="B79" s="8"/>
      <c r="C79" s="5">
        <f>'Series Detail'!R81</f>
        <v>26618429.75</v>
      </c>
      <c r="D79" s="5"/>
      <c r="E79" s="5">
        <f>'Series Detail'!S81</f>
        <v>3250125</v>
      </c>
      <c r="F79" s="8"/>
      <c r="G79" s="5">
        <f>'Series Detail'!T81</f>
        <v>128994700</v>
      </c>
      <c r="H79" s="5"/>
      <c r="I79" s="5">
        <f>'Series Detail'!U81</f>
        <v>0</v>
      </c>
      <c r="J79" s="5"/>
      <c r="K79" s="5">
        <f t="shared" si="2"/>
        <v>158863254.75</v>
      </c>
      <c r="L79" s="5"/>
      <c r="M79" s="5">
        <f>+K78+K79</f>
        <v>347240703.39999998</v>
      </c>
      <c r="P79" s="143"/>
    </row>
    <row r="80" spans="1:16" ht="13.8" x14ac:dyDescent="0.25">
      <c r="A80" s="8">
        <f t="shared" si="3"/>
        <v>57329</v>
      </c>
      <c r="B80" s="8"/>
      <c r="C80" s="5">
        <f>'Series Detail'!R82</f>
        <v>36621670.25</v>
      </c>
      <c r="D80" s="5"/>
      <c r="E80" s="5">
        <f>'Series Detail'!S82</f>
        <v>3250125</v>
      </c>
      <c r="F80" s="8"/>
      <c r="G80" s="5">
        <f>'Series Detail'!T82</f>
        <v>175418329.75</v>
      </c>
      <c r="H80" s="5"/>
      <c r="I80" s="5">
        <f>'Series Detail'!U82</f>
        <v>0</v>
      </c>
      <c r="J80" s="5"/>
      <c r="K80" s="5">
        <f t="shared" si="2"/>
        <v>215290125</v>
      </c>
      <c r="L80" s="5"/>
      <c r="M80" s="4"/>
      <c r="P80" s="143"/>
    </row>
    <row r="81" spans="1:16" ht="13.8" x14ac:dyDescent="0.25">
      <c r="A81" s="8">
        <f t="shared" si="3"/>
        <v>57511</v>
      </c>
      <c r="B81" s="8"/>
      <c r="C81" s="5">
        <f>'Series Detail'!R83</f>
        <v>128740000</v>
      </c>
      <c r="D81" s="5"/>
      <c r="E81" s="5">
        <f>'Series Detail'!S83</f>
        <v>3218500</v>
      </c>
      <c r="F81" s="8"/>
      <c r="G81" s="5">
        <f>'Series Detail'!T83</f>
        <v>0</v>
      </c>
      <c r="H81" s="5"/>
      <c r="I81" s="5">
        <f>'Series Detail'!U83</f>
        <v>0</v>
      </c>
      <c r="J81" s="5"/>
      <c r="K81" s="5">
        <f t="shared" si="2"/>
        <v>131958500</v>
      </c>
      <c r="L81" s="5"/>
      <c r="M81" s="5">
        <f>+K80+K81</f>
        <v>347248625</v>
      </c>
      <c r="P81" s="143"/>
    </row>
    <row r="82" spans="1:16" ht="13.8" x14ac:dyDescent="0.25">
      <c r="A82" s="8">
        <f t="shared" si="3"/>
        <v>57694</v>
      </c>
      <c r="B82" s="8"/>
      <c r="C82" s="5">
        <f>'Series Detail'!R84</f>
        <v>0</v>
      </c>
      <c r="D82" s="5"/>
      <c r="E82" s="5">
        <f>'Series Detail'!S84</f>
        <v>0</v>
      </c>
      <c r="F82" s="8"/>
      <c r="G82" s="5">
        <f>'Series Detail'!T84</f>
        <v>0</v>
      </c>
      <c r="H82" s="5"/>
      <c r="I82" s="5">
        <f>'Series Detail'!U84</f>
        <v>0</v>
      </c>
      <c r="J82" s="5"/>
      <c r="K82" s="5">
        <f t="shared" si="2"/>
        <v>0</v>
      </c>
      <c r="L82" s="5"/>
      <c r="M82" s="4"/>
    </row>
    <row r="83" spans="1:16" ht="13.8" x14ac:dyDescent="0.25">
      <c r="A83" s="8">
        <f t="shared" si="3"/>
        <v>57876</v>
      </c>
      <c r="B83" s="8"/>
      <c r="C83" s="5">
        <f>'Series Detail'!R85</f>
        <v>0</v>
      </c>
      <c r="D83" s="5"/>
      <c r="E83" s="5">
        <f>'Series Detail'!S85</f>
        <v>0</v>
      </c>
      <c r="F83" s="8"/>
      <c r="G83" s="5">
        <f>'Series Detail'!T85</f>
        <v>0</v>
      </c>
      <c r="H83" s="5"/>
      <c r="I83" s="5">
        <f>'Series Detail'!U85</f>
        <v>0</v>
      </c>
      <c r="J83" s="5"/>
      <c r="K83" s="5">
        <f t="shared" si="2"/>
        <v>0</v>
      </c>
      <c r="L83" s="5"/>
      <c r="M83" s="5">
        <f>+K82+K83</f>
        <v>0</v>
      </c>
    </row>
    <row r="84" spans="1:16" ht="13.8" x14ac:dyDescent="0.25">
      <c r="A84" s="8">
        <f t="shared" si="3"/>
        <v>58059</v>
      </c>
      <c r="B84" s="8"/>
      <c r="C84" s="5">
        <f>'Series Detail'!R86</f>
        <v>0</v>
      </c>
      <c r="D84" s="5"/>
      <c r="E84" s="5">
        <f>'Series Detail'!S86</f>
        <v>0</v>
      </c>
      <c r="F84" s="8"/>
      <c r="G84" s="5">
        <f>'Series Detail'!T86</f>
        <v>0</v>
      </c>
      <c r="H84" s="5"/>
      <c r="I84" s="5">
        <f>'Series Detail'!U86</f>
        <v>0</v>
      </c>
      <c r="J84" s="5"/>
      <c r="K84" s="5">
        <f t="shared" si="2"/>
        <v>0</v>
      </c>
      <c r="L84" s="5"/>
      <c r="M84" s="4"/>
    </row>
    <row r="85" spans="1:16" ht="13.8" x14ac:dyDescent="0.25">
      <c r="A85" s="8">
        <f t="shared" si="3"/>
        <v>58241</v>
      </c>
      <c r="B85" s="8"/>
      <c r="C85" s="5">
        <f>'Series Detail'!R87</f>
        <v>0</v>
      </c>
      <c r="D85" s="5"/>
      <c r="E85" s="5">
        <f>'Series Detail'!S87</f>
        <v>0</v>
      </c>
      <c r="F85" s="8"/>
      <c r="G85" s="5">
        <f>'Series Detail'!T87</f>
        <v>0</v>
      </c>
      <c r="H85" s="5"/>
      <c r="I85" s="5">
        <f>'Series Detail'!U87</f>
        <v>0</v>
      </c>
      <c r="J85" s="5"/>
      <c r="K85" s="5">
        <f t="shared" si="2"/>
        <v>0</v>
      </c>
      <c r="L85" s="5"/>
      <c r="M85" s="5">
        <f>+K84+K85</f>
        <v>0</v>
      </c>
    </row>
    <row r="86" spans="1:16" ht="13.8" x14ac:dyDescent="0.25">
      <c r="A86" s="8">
        <f t="shared" si="3"/>
        <v>58424</v>
      </c>
      <c r="B86" s="8"/>
      <c r="C86" s="5">
        <f>'Series Detail'!R88</f>
        <v>0</v>
      </c>
      <c r="D86" s="5"/>
      <c r="E86" s="5">
        <f>'Series Detail'!S88</f>
        <v>0</v>
      </c>
      <c r="F86" s="8"/>
      <c r="G86" s="5">
        <f>'Series Detail'!T88</f>
        <v>0</v>
      </c>
      <c r="H86" s="5"/>
      <c r="I86" s="5">
        <f>'Series Detail'!U88</f>
        <v>0</v>
      </c>
      <c r="J86" s="5"/>
      <c r="K86" s="5">
        <f t="shared" si="2"/>
        <v>0</v>
      </c>
      <c r="L86" s="5"/>
      <c r="M86" s="4"/>
    </row>
    <row r="87" spans="1:16" ht="13.8" x14ac:dyDescent="0.25">
      <c r="A87" s="8">
        <f t="shared" si="3"/>
        <v>58607</v>
      </c>
      <c r="B87" s="8"/>
      <c r="C87" s="5">
        <f>'Series Detail'!R89</f>
        <v>0</v>
      </c>
      <c r="D87" s="5"/>
      <c r="E87" s="5">
        <f>'Series Detail'!S89</f>
        <v>0</v>
      </c>
      <c r="F87" s="8"/>
      <c r="G87" s="5">
        <f>'Series Detail'!T89</f>
        <v>0</v>
      </c>
      <c r="H87" s="5"/>
      <c r="I87" s="5">
        <f>'Series Detail'!U89</f>
        <v>0</v>
      </c>
      <c r="J87" s="5"/>
      <c r="K87" s="5">
        <f t="shared" si="2"/>
        <v>0</v>
      </c>
      <c r="L87" s="5"/>
      <c r="M87" s="5">
        <f>+K86+K87</f>
        <v>0</v>
      </c>
    </row>
    <row r="88" spans="1:16" ht="13.8" x14ac:dyDescent="0.25">
      <c r="A88" s="8"/>
      <c r="B88" s="8"/>
      <c r="C88" s="13"/>
      <c r="D88" s="4"/>
      <c r="E88" s="13"/>
      <c r="F88" s="8"/>
      <c r="G88" s="13"/>
      <c r="H88" s="4"/>
      <c r="I88" s="13"/>
      <c r="J88" s="4"/>
      <c r="K88" s="13"/>
      <c r="L88" s="4"/>
      <c r="M88" s="13"/>
    </row>
    <row r="89" spans="1:16" ht="14.4" thickBot="1" x14ac:dyDescent="0.3">
      <c r="A89" s="8" t="s">
        <v>36</v>
      </c>
      <c r="B89" s="8"/>
      <c r="C89" s="49">
        <f>SUM(C10:C88)</f>
        <v>3092205056.1500006</v>
      </c>
      <c r="D89" s="5"/>
      <c r="E89" s="49">
        <f>SUM(E10:E88)</f>
        <v>2586436231.1300001</v>
      </c>
      <c r="F89" s="8"/>
      <c r="G89" s="49">
        <f>SUM(G10:G88)</f>
        <v>6530219632.9500017</v>
      </c>
      <c r="H89" s="5"/>
      <c r="I89" s="49">
        <f>SUM(I10:I88)</f>
        <v>-18736955.609999999</v>
      </c>
      <c r="J89" s="5"/>
      <c r="K89" s="49">
        <f>SUM(K10:K88)</f>
        <v>12190123964.620001</v>
      </c>
      <c r="L89" s="5"/>
      <c r="M89" s="49">
        <f>SUM(M10:M88)</f>
        <v>12190123964.619999</v>
      </c>
    </row>
    <row r="90" spans="1:16" ht="13.8" thickTop="1" x14ac:dyDescent="0.25"/>
    <row r="91" spans="1:16" x14ac:dyDescent="0.25">
      <c r="K91" s="2"/>
    </row>
    <row r="92" spans="1:16" ht="13.8" x14ac:dyDescent="0.25">
      <c r="A92" s="234">
        <f ca="1">'2022A'!A76</f>
        <v>44691.691628009263</v>
      </c>
      <c r="B92" s="234"/>
      <c r="C92" s="234"/>
    </row>
    <row r="93" spans="1:16" ht="13.8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6" ht="13.8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6" ht="13.8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6" ht="13.8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3:14" ht="13.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3:14" ht="13.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3:14" ht="13.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3:14" ht="13.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3:14" ht="13.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3:14" ht="13.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3:14" ht="13.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</sheetData>
  <mergeCells count="1">
    <mergeCell ref="A92:C92"/>
  </mergeCells>
  <phoneticPr fontId="0" type="noConversion"/>
  <pageMargins left="0.75" right="0.75" top="0.75" bottom="0.75" header="0.5" footer="0.5"/>
  <pageSetup scale="66" fitToHeight="0" orientation="portrait" r:id="rId1"/>
  <headerFooter alignWithMargins="0"/>
  <rowBreaks count="1" manualBreakCount="1">
    <brk id="6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8"/>
  <sheetViews>
    <sheetView zoomScale="80" zoomScaleNormal="80" zoomScaleSheetLayoutView="70" workbookViewId="0">
      <pane xSplit="1" ySplit="9" topLeftCell="C22" activePane="bottomRight" state="frozen"/>
      <selection activeCell="M7" sqref="M7"/>
      <selection pane="topRight" activeCell="M7" sqref="M7"/>
      <selection pane="bottomLeft" activeCell="M7" sqref="M7"/>
      <selection pane="bottomRight" activeCell="C10" sqref="C10"/>
    </sheetView>
  </sheetViews>
  <sheetFormatPr defaultColWidth="10.7109375" defaultRowHeight="13.2" x14ac:dyDescent="0.25"/>
  <cols>
    <col min="1" max="1" width="21.28515625" style="38" customWidth="1"/>
    <col min="2" max="2" width="3.7109375" style="38" customWidth="1"/>
    <col min="3" max="3" width="19.85546875" style="39" customWidth="1"/>
    <col min="4" max="4" width="3.7109375" style="39" customWidth="1"/>
    <col min="5" max="5" width="19.85546875" style="39" customWidth="1"/>
    <col min="6" max="6" width="3.7109375" style="39" customWidth="1"/>
    <col min="7" max="7" width="19.85546875" style="39" customWidth="1"/>
    <col min="8" max="8" width="3.7109375" style="39" customWidth="1"/>
    <col min="9" max="9" width="19.85546875" style="39" customWidth="1"/>
    <col min="10" max="10" width="3.7109375" style="39" customWidth="1"/>
    <col min="11" max="11" width="20.85546875" style="39" customWidth="1"/>
    <col min="12" max="12" width="3.7109375" style="39" customWidth="1"/>
    <col min="13" max="13" width="19.85546875" style="39" customWidth="1"/>
    <col min="14" max="21" width="14.85546875" style="39" customWidth="1"/>
    <col min="22" max="16384" width="10.7109375" style="39"/>
  </cols>
  <sheetData>
    <row r="1" spans="1:21" s="148" customFormat="1" ht="17.399999999999999" x14ac:dyDescent="0.3">
      <c r="A1" s="146"/>
      <c r="B1" s="146"/>
      <c r="C1" s="53" t="str">
        <f>'Total Debt'!C1</f>
        <v>MPEA 2022A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47"/>
    </row>
    <row r="2" spans="1:21" s="121" customFormat="1" ht="17.399999999999999" x14ac:dyDescent="0.3">
      <c r="A2" s="149"/>
      <c r="B2" s="149"/>
      <c r="C2" s="116" t="s">
        <v>39</v>
      </c>
      <c r="D2" s="116"/>
      <c r="E2" s="116"/>
      <c r="F2" s="116"/>
      <c r="G2" s="116"/>
      <c r="H2" s="116"/>
      <c r="I2" s="116"/>
      <c r="J2" s="116"/>
      <c r="K2" s="116"/>
      <c r="L2" s="116"/>
      <c r="M2" s="120"/>
    </row>
    <row r="3" spans="1:21" s="121" customFormat="1" ht="15.6" x14ac:dyDescent="0.3">
      <c r="A3" s="61"/>
      <c r="B3" s="61"/>
      <c r="C3" s="62" t="str">
        <f>'Total Debt'!C3</f>
        <v>(After Series 2022A Expansion Project Bond Issuance)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1" ht="15.6" x14ac:dyDescent="0.3">
      <c r="A4" s="8"/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21" ht="15.6" x14ac:dyDescent="0.3">
      <c r="A5" s="41" t="s">
        <v>24</v>
      </c>
      <c r="B5" s="41"/>
      <c r="C5" s="8"/>
      <c r="D5" s="8"/>
      <c r="E5" s="42">
        <v>44391</v>
      </c>
      <c r="F5" s="47"/>
      <c r="G5" s="47"/>
      <c r="H5" s="47"/>
      <c r="I5" s="47"/>
      <c r="J5" s="47"/>
      <c r="K5" s="14"/>
      <c r="L5" s="14"/>
      <c r="M5" s="4"/>
    </row>
    <row r="6" spans="1:21" ht="15.6" x14ac:dyDescent="0.3">
      <c r="A6" s="8"/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4"/>
    </row>
    <row r="7" spans="1:21" ht="15.6" x14ac:dyDescent="0.3">
      <c r="A7" s="33" t="s">
        <v>21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</row>
    <row r="8" spans="1:21" ht="13.8" x14ac:dyDescent="0.25">
      <c r="A8" s="9" t="s">
        <v>22</v>
      </c>
      <c r="B8" s="9"/>
      <c r="C8" s="11" t="s">
        <v>28</v>
      </c>
      <c r="D8" s="11"/>
      <c r="E8" s="10"/>
      <c r="F8" s="11"/>
      <c r="G8" s="11" t="s">
        <v>31</v>
      </c>
      <c r="H8" s="10"/>
      <c r="I8" s="11" t="s">
        <v>33</v>
      </c>
      <c r="J8" s="11"/>
      <c r="K8" s="11"/>
      <c r="L8" s="11"/>
      <c r="M8" s="11" t="s">
        <v>38</v>
      </c>
    </row>
    <row r="9" spans="1:21" ht="13.8" x14ac:dyDescent="0.25">
      <c r="A9" s="12" t="s">
        <v>23</v>
      </c>
      <c r="B9" s="12"/>
      <c r="C9" s="10" t="s">
        <v>29</v>
      </c>
      <c r="D9" s="10"/>
      <c r="E9" s="10" t="s">
        <v>30</v>
      </c>
      <c r="F9" s="10"/>
      <c r="G9" s="10" t="s">
        <v>32</v>
      </c>
      <c r="H9" s="10"/>
      <c r="I9" s="10" t="s">
        <v>32</v>
      </c>
      <c r="J9" s="10"/>
      <c r="K9" s="10" t="s">
        <v>34</v>
      </c>
      <c r="L9" s="10"/>
      <c r="M9" s="10" t="s">
        <v>34</v>
      </c>
    </row>
    <row r="10" spans="1:21" ht="13.8" x14ac:dyDescent="0.25">
      <c r="A10" s="8">
        <v>44545</v>
      </c>
      <c r="B10" s="8"/>
      <c r="C10" s="5">
        <f>'Series Detail'!R12-'Series Detail'!Y12</f>
        <v>0</v>
      </c>
      <c r="D10" s="5"/>
      <c r="E10" s="5">
        <f>'Series Detail'!S12-'Series Detail'!AA12</f>
        <v>56529305.079999998</v>
      </c>
      <c r="F10" s="5"/>
      <c r="G10" s="5">
        <f>'Series Detail'!T12-'Series Detail'!AB12</f>
        <v>0</v>
      </c>
      <c r="H10" s="5"/>
      <c r="I10" s="5">
        <f>'Series Detail'!U12-'Series Detail'!AC12</f>
        <v>0</v>
      </c>
      <c r="J10" s="5"/>
      <c r="K10" s="5">
        <f>SUM(C10:J10)</f>
        <v>56529305.079999998</v>
      </c>
      <c r="L10" s="5"/>
      <c r="M10" s="4"/>
      <c r="N10" s="40"/>
      <c r="O10" s="40"/>
      <c r="P10" s="40"/>
      <c r="Q10" s="40"/>
      <c r="R10" s="40"/>
      <c r="S10" s="40"/>
      <c r="T10" s="40"/>
      <c r="U10" s="40"/>
    </row>
    <row r="11" spans="1:21" ht="13.8" x14ac:dyDescent="0.25">
      <c r="A11" s="8">
        <v>44727</v>
      </c>
      <c r="B11" s="8"/>
      <c r="C11" s="5">
        <f>'Series Detail'!R13-'Series Detail'!Y13</f>
        <v>0</v>
      </c>
      <c r="D11" s="5"/>
      <c r="E11" s="5">
        <f>'Series Detail'!S13-'Series Detail'!AA13</f>
        <v>56529305.079999998</v>
      </c>
      <c r="F11" s="5"/>
      <c r="G11" s="5">
        <f>'Series Detail'!T13-'Series Detail'!AB13</f>
        <v>0</v>
      </c>
      <c r="H11" s="5"/>
      <c r="I11" s="5">
        <f>'Series Detail'!U13-'Series Detail'!AC13</f>
        <v>0</v>
      </c>
      <c r="J11" s="5"/>
      <c r="K11" s="5">
        <f t="shared" ref="K11:K74" si="0">SUM(C11:J11)</f>
        <v>56529305.079999998</v>
      </c>
      <c r="L11" s="5"/>
      <c r="M11" s="5">
        <f>+K10+K11</f>
        <v>113058610.16</v>
      </c>
      <c r="N11" s="40"/>
      <c r="O11" s="40"/>
      <c r="P11" s="40"/>
      <c r="Q11" s="40"/>
      <c r="R11" s="40"/>
      <c r="S11" s="40"/>
      <c r="T11" s="40"/>
      <c r="U11" s="40"/>
    </row>
    <row r="12" spans="1:21" ht="13.8" x14ac:dyDescent="0.25">
      <c r="A12" s="8">
        <v>44910</v>
      </c>
      <c r="B12" s="8"/>
      <c r="C12" s="5">
        <f>'Series Detail'!R14-'Series Detail'!Y14</f>
        <v>49201020</v>
      </c>
      <c r="D12" s="5"/>
      <c r="E12" s="5">
        <f>'Series Detail'!S14-'Series Detail'!AA14</f>
        <v>38259830.079999998</v>
      </c>
      <c r="F12" s="5"/>
      <c r="G12" s="5">
        <f>'Series Detail'!T14-'Series Detail'!AB14</f>
        <v>40068980</v>
      </c>
      <c r="H12" s="5"/>
      <c r="I12" s="5">
        <f>'Series Detail'!U14-'Series Detail'!AC14</f>
        <v>0</v>
      </c>
      <c r="J12" s="5"/>
      <c r="K12" s="5">
        <f t="shared" si="0"/>
        <v>127529830.08</v>
      </c>
      <c r="L12" s="5"/>
      <c r="M12" s="4"/>
      <c r="N12" s="40"/>
      <c r="O12" s="40"/>
      <c r="P12" s="40"/>
      <c r="Q12" s="40"/>
      <c r="R12" s="40"/>
      <c r="S12" s="40"/>
      <c r="T12" s="40"/>
      <c r="U12" s="40"/>
    </row>
    <row r="13" spans="1:21" ht="13.8" x14ac:dyDescent="0.25">
      <c r="A13" s="8">
        <v>45092</v>
      </c>
      <c r="B13" s="8"/>
      <c r="C13" s="5">
        <f>'Series Detail'!R15-'Series Detail'!Y15</f>
        <v>11442993.099999998</v>
      </c>
      <c r="D13" s="5"/>
      <c r="E13" s="5">
        <f>'Series Detail'!S15-'Series Detail'!AA15</f>
        <v>37280655.079999998</v>
      </c>
      <c r="F13" s="5"/>
      <c r="G13" s="5">
        <f>'Series Detail'!T15-'Series Detail'!AB15</f>
        <v>21677006.900000002</v>
      </c>
      <c r="H13" s="5"/>
      <c r="I13" s="5">
        <f>'Series Detail'!U15-'Series Detail'!AC15</f>
        <v>0</v>
      </c>
      <c r="J13" s="5"/>
      <c r="K13" s="5">
        <f t="shared" si="0"/>
        <v>70400655.079999998</v>
      </c>
      <c r="L13" s="5"/>
      <c r="M13" s="5">
        <f>+K12+K13</f>
        <v>197930485.16</v>
      </c>
      <c r="N13" s="40"/>
      <c r="O13" s="40"/>
      <c r="P13" s="40"/>
      <c r="Q13" s="40"/>
      <c r="R13" s="40"/>
      <c r="S13" s="40"/>
      <c r="T13" s="40"/>
      <c r="U13" s="40"/>
    </row>
    <row r="14" spans="1:21" ht="13.8" x14ac:dyDescent="0.25">
      <c r="A14" s="8">
        <v>45275</v>
      </c>
      <c r="B14" s="8"/>
      <c r="C14" s="5">
        <f>'Series Detail'!R16-'Series Detail'!Y16</f>
        <v>19319366.600000001</v>
      </c>
      <c r="D14" s="5"/>
      <c r="E14" s="5">
        <f>'Series Detail'!S16-'Series Detail'!AA16</f>
        <v>36935875.079999998</v>
      </c>
      <c r="F14" s="5"/>
      <c r="G14" s="5">
        <f>'Series Detail'!T16-'Series Detail'!AB16</f>
        <v>97320633.400000006</v>
      </c>
      <c r="H14" s="5"/>
      <c r="I14" s="5">
        <f>'Series Detail'!U16-'Series Detail'!AC16</f>
        <v>0</v>
      </c>
      <c r="J14" s="5"/>
      <c r="K14" s="5">
        <f t="shared" si="0"/>
        <v>153575875.08000001</v>
      </c>
      <c r="L14" s="5"/>
      <c r="M14" s="4"/>
      <c r="N14" s="40"/>
      <c r="O14" s="40"/>
      <c r="P14" s="40"/>
      <c r="Q14" s="40"/>
      <c r="R14" s="40"/>
      <c r="S14" s="40"/>
      <c r="T14" s="40"/>
      <c r="U14" s="40"/>
    </row>
    <row r="15" spans="1:21" ht="13.8" x14ac:dyDescent="0.25">
      <c r="A15" s="8">
        <v>45458</v>
      </c>
      <c r="B15" s="8"/>
      <c r="C15" s="5">
        <f>'Series Detail'!R17-'Series Detail'!Y17</f>
        <v>10747722.800000004</v>
      </c>
      <c r="D15" s="5"/>
      <c r="E15" s="5">
        <f>'Series Detail'!S17-'Series Detail'!AA17</f>
        <v>36806762.579999998</v>
      </c>
      <c r="F15" s="5"/>
      <c r="G15" s="5">
        <f>'Series Detail'!T17-'Series Detail'!AB17</f>
        <v>17157277.199999999</v>
      </c>
      <c r="H15" s="5"/>
      <c r="I15" s="5">
        <f>'Series Detail'!U17-'Series Detail'!AC17</f>
        <v>0</v>
      </c>
      <c r="J15" s="5"/>
      <c r="K15" s="5">
        <f t="shared" si="0"/>
        <v>64711762.579999998</v>
      </c>
      <c r="L15" s="5"/>
      <c r="M15" s="5">
        <f>+K14+K15</f>
        <v>218287637.66000003</v>
      </c>
      <c r="N15" s="40"/>
      <c r="O15" s="40"/>
      <c r="P15" s="40"/>
      <c r="Q15" s="40"/>
      <c r="R15" s="40"/>
      <c r="S15" s="40"/>
      <c r="T15" s="40"/>
      <c r="U15" s="40"/>
    </row>
    <row r="16" spans="1:21" ht="13.8" x14ac:dyDescent="0.25">
      <c r="A16" s="8">
        <v>45641</v>
      </c>
      <c r="B16" s="8"/>
      <c r="C16" s="5">
        <f>'Series Detail'!R18-'Series Detail'!Y18</f>
        <v>17916601.25</v>
      </c>
      <c r="D16" s="5"/>
      <c r="E16" s="5">
        <f>'Series Detail'!S18-'Series Detail'!AA18</f>
        <v>36613850.079999998</v>
      </c>
      <c r="F16" s="5"/>
      <c r="G16" s="5">
        <f>'Series Detail'!T18-'Series Detail'!AB18</f>
        <v>92468398.75</v>
      </c>
      <c r="H16" s="5"/>
      <c r="I16" s="5">
        <f>'Series Detail'!U18-'Series Detail'!AC18</f>
        <v>0</v>
      </c>
      <c r="J16" s="5"/>
      <c r="K16" s="5">
        <f t="shared" si="0"/>
        <v>146998850.07999998</v>
      </c>
      <c r="L16" s="5"/>
      <c r="M16" s="4"/>
      <c r="N16" s="40"/>
      <c r="O16" s="40"/>
      <c r="P16" s="40"/>
      <c r="Q16" s="40"/>
      <c r="R16" s="40"/>
      <c r="S16" s="40"/>
      <c r="T16" s="40"/>
      <c r="U16" s="40"/>
    </row>
    <row r="17" spans="1:21" ht="13.8" x14ac:dyDescent="0.25">
      <c r="A17" s="8">
        <v>45823</v>
      </c>
      <c r="B17" s="8"/>
      <c r="C17" s="5">
        <f>'Series Detail'!R19-'Series Detail'!Y19</f>
        <v>10820081.900000002</v>
      </c>
      <c r="D17" s="5"/>
      <c r="E17" s="5">
        <f>'Series Detail'!S19-'Series Detail'!AA19</f>
        <v>36477450.079999998</v>
      </c>
      <c r="F17" s="5"/>
      <c r="G17" s="5">
        <f>'Series Detail'!T19-'Series Detail'!AB19</f>
        <v>16949918.100000001</v>
      </c>
      <c r="H17" s="5"/>
      <c r="I17" s="5">
        <f>'Series Detail'!U19-'Series Detail'!AC19</f>
        <v>0</v>
      </c>
      <c r="J17" s="5"/>
      <c r="K17" s="5">
        <f t="shared" si="0"/>
        <v>64247450.080000006</v>
      </c>
      <c r="L17" s="5"/>
      <c r="M17" s="5">
        <f>+K16+K17</f>
        <v>211246300.16</v>
      </c>
      <c r="N17" s="40"/>
      <c r="O17" s="40"/>
      <c r="P17" s="40"/>
      <c r="Q17" s="40"/>
      <c r="R17" s="40"/>
      <c r="S17" s="40"/>
      <c r="T17" s="40"/>
      <c r="U17" s="40"/>
    </row>
    <row r="18" spans="1:21" ht="13.8" x14ac:dyDescent="0.25">
      <c r="A18" s="8">
        <v>46006</v>
      </c>
      <c r="B18" s="8"/>
      <c r="C18" s="5">
        <f>'Series Detail'!R20-'Series Detail'!Y20</f>
        <v>15031644</v>
      </c>
      <c r="D18" s="5"/>
      <c r="E18" s="5">
        <f>'Series Detail'!S20-'Series Detail'!AA20</f>
        <v>36273950.079999998</v>
      </c>
      <c r="F18" s="5"/>
      <c r="G18" s="5">
        <f>'Series Detail'!T20-'Series Detail'!AB20</f>
        <v>60213356</v>
      </c>
      <c r="H18" s="5"/>
      <c r="I18" s="5">
        <f>'Series Detail'!U20-'Series Detail'!AC20</f>
        <v>0</v>
      </c>
      <c r="J18" s="5"/>
      <c r="K18" s="5">
        <f t="shared" si="0"/>
        <v>111518950.08</v>
      </c>
      <c r="L18" s="5"/>
      <c r="M18" s="4"/>
      <c r="N18" s="40"/>
      <c r="O18" s="40"/>
      <c r="P18" s="40"/>
      <c r="Q18" s="40"/>
      <c r="R18" s="40"/>
      <c r="S18" s="40"/>
      <c r="T18" s="40"/>
      <c r="U18" s="40"/>
    </row>
    <row r="19" spans="1:21" ht="13.8" x14ac:dyDescent="0.25">
      <c r="A19" s="8">
        <v>46188</v>
      </c>
      <c r="B19" s="8"/>
      <c r="C19" s="5">
        <f>'Series Detail'!R21-'Series Detail'!Y21</f>
        <v>32132728.600000001</v>
      </c>
      <c r="D19" s="5"/>
      <c r="E19" s="5">
        <f>'Series Detail'!S21-'Series Detail'!AA21</f>
        <v>35989737.579999998</v>
      </c>
      <c r="F19" s="5"/>
      <c r="G19" s="5">
        <f>'Series Detail'!T21-'Series Detail'!AB21</f>
        <v>33287271.399999999</v>
      </c>
      <c r="H19" s="5"/>
      <c r="I19" s="5">
        <f>'Series Detail'!U21-'Series Detail'!AC21</f>
        <v>0</v>
      </c>
      <c r="J19" s="5"/>
      <c r="K19" s="5">
        <f t="shared" si="0"/>
        <v>101409737.58000001</v>
      </c>
      <c r="L19" s="5"/>
      <c r="M19" s="5">
        <f>+K18+K19</f>
        <v>212928687.66000003</v>
      </c>
      <c r="N19" s="40"/>
      <c r="O19" s="40"/>
      <c r="P19" s="40"/>
      <c r="Q19" s="40"/>
      <c r="R19" s="40"/>
      <c r="S19" s="40"/>
      <c r="T19" s="40"/>
      <c r="U19" s="40"/>
    </row>
    <row r="20" spans="1:21" ht="13.8" x14ac:dyDescent="0.25">
      <c r="A20" s="8">
        <v>46371</v>
      </c>
      <c r="B20" s="8"/>
      <c r="C20" s="5">
        <f>'Series Detail'!R22-'Series Detail'!Y22</f>
        <v>60259290.399999999</v>
      </c>
      <c r="D20" s="5"/>
      <c r="E20" s="5">
        <f>'Series Detail'!S22-'Series Detail'!AA22</f>
        <v>35714050.079999998</v>
      </c>
      <c r="F20" s="5"/>
      <c r="G20" s="5">
        <f>'Series Detail'!T22-'Series Detail'!AB22</f>
        <v>39230709.600000001</v>
      </c>
      <c r="H20" s="5"/>
      <c r="I20" s="5">
        <f>'Series Detail'!U22-'Series Detail'!AC22</f>
        <v>0</v>
      </c>
      <c r="J20" s="5"/>
      <c r="K20" s="5">
        <f t="shared" si="0"/>
        <v>135204050.07999998</v>
      </c>
      <c r="L20" s="5"/>
      <c r="M20" s="4"/>
      <c r="N20" s="40"/>
      <c r="O20" s="40"/>
      <c r="P20" s="40"/>
      <c r="Q20" s="40"/>
      <c r="R20" s="40"/>
      <c r="S20" s="40"/>
      <c r="T20" s="40"/>
      <c r="U20" s="40"/>
    </row>
    <row r="21" spans="1:21" ht="13.8" x14ac:dyDescent="0.25">
      <c r="A21" s="8">
        <v>46553</v>
      </c>
      <c r="B21" s="8"/>
      <c r="C21" s="5">
        <f>'Series Detail'!R23-'Series Detail'!Y23</f>
        <v>35539557.200000003</v>
      </c>
      <c r="D21" s="5"/>
      <c r="E21" s="5">
        <f>'Series Detail'!S23-'Series Detail'!AA23</f>
        <v>34442048.950000003</v>
      </c>
      <c r="F21" s="5"/>
      <c r="G21" s="5">
        <f>'Series Detail'!T23-'Series Detail'!AB23</f>
        <v>42135442.799999997</v>
      </c>
      <c r="H21" s="5"/>
      <c r="I21" s="5">
        <f>'Series Detail'!U23-'Series Detail'!AC23</f>
        <v>0</v>
      </c>
      <c r="J21" s="5"/>
      <c r="K21" s="5">
        <f t="shared" si="0"/>
        <v>112117048.95</v>
      </c>
      <c r="L21" s="5"/>
      <c r="M21" s="5">
        <f>+K20+K21</f>
        <v>247321099.02999997</v>
      </c>
      <c r="N21" s="40"/>
      <c r="O21" s="40"/>
      <c r="P21" s="40"/>
      <c r="Q21" s="40"/>
      <c r="R21" s="40"/>
      <c r="S21" s="40"/>
      <c r="T21" s="40"/>
      <c r="U21" s="40"/>
    </row>
    <row r="22" spans="1:21" ht="13.8" x14ac:dyDescent="0.25">
      <c r="A22" s="8">
        <v>46736</v>
      </c>
      <c r="B22" s="8"/>
      <c r="C22" s="5">
        <f>'Series Detail'!R24-'Series Detail'!Y24</f>
        <v>39340000</v>
      </c>
      <c r="D22" s="5"/>
      <c r="E22" s="5">
        <f>'Series Detail'!S24-'Series Detail'!AA24</f>
        <v>34151098.950000003</v>
      </c>
      <c r="F22" s="5"/>
      <c r="G22" s="5">
        <f>'Series Detail'!T24-'Series Detail'!AB24</f>
        <v>0</v>
      </c>
      <c r="H22" s="5"/>
      <c r="I22" s="5">
        <f>'Series Detail'!U24-'Series Detail'!AC24</f>
        <v>0</v>
      </c>
      <c r="J22" s="5"/>
      <c r="K22" s="5">
        <f t="shared" si="0"/>
        <v>73491098.950000003</v>
      </c>
      <c r="L22" s="5"/>
      <c r="M22" s="4"/>
      <c r="N22" s="40"/>
      <c r="O22" s="40"/>
      <c r="P22" s="40"/>
      <c r="Q22" s="40"/>
      <c r="R22" s="40"/>
      <c r="S22" s="40"/>
      <c r="T22" s="40"/>
      <c r="U22" s="40"/>
    </row>
    <row r="23" spans="1:21" ht="13.8" x14ac:dyDescent="0.25">
      <c r="A23" s="8">
        <v>46919</v>
      </c>
      <c r="B23" s="8"/>
      <c r="C23" s="5">
        <f>'Series Detail'!R25-'Series Detail'!Y25</f>
        <v>15902687.300000001</v>
      </c>
      <c r="D23" s="5"/>
      <c r="E23" s="5">
        <f>'Series Detail'!S25-'Series Detail'!AA25</f>
        <v>33294533.329999998</v>
      </c>
      <c r="F23" s="5"/>
      <c r="G23" s="5">
        <f>'Series Detail'!T25-'Series Detail'!AB25</f>
        <v>83087312.700000003</v>
      </c>
      <c r="H23" s="5"/>
      <c r="I23" s="5">
        <f>'Series Detail'!U25-'Series Detail'!AC25</f>
        <v>0</v>
      </c>
      <c r="J23" s="5"/>
      <c r="K23" s="5">
        <f t="shared" si="0"/>
        <v>132284533.33</v>
      </c>
      <c r="L23" s="5"/>
      <c r="M23" s="5">
        <f>+K22+K23</f>
        <v>205775632.28</v>
      </c>
      <c r="N23" s="40"/>
      <c r="O23" s="40"/>
      <c r="P23" s="40"/>
      <c r="Q23" s="40"/>
      <c r="R23" s="40"/>
      <c r="S23" s="40"/>
      <c r="T23" s="40"/>
      <c r="U23" s="40"/>
    </row>
    <row r="24" spans="1:21" ht="13.8" x14ac:dyDescent="0.25">
      <c r="A24" s="8">
        <v>47102</v>
      </c>
      <c r="B24" s="8"/>
      <c r="C24" s="5">
        <f>'Series Detail'!R26-'Series Detail'!Y26</f>
        <v>51235000</v>
      </c>
      <c r="D24" s="5"/>
      <c r="E24" s="5">
        <f>'Series Detail'!S26-'Series Detail'!AA26</f>
        <v>33129670.829999998</v>
      </c>
      <c r="F24" s="5"/>
      <c r="G24" s="5">
        <f>'Series Detail'!T26-'Series Detail'!AB26</f>
        <v>0</v>
      </c>
      <c r="H24" s="5"/>
      <c r="I24" s="5">
        <f>'Series Detail'!U26-'Series Detail'!AC26</f>
        <v>0</v>
      </c>
      <c r="J24" s="5"/>
      <c r="K24" s="5">
        <f t="shared" si="0"/>
        <v>84364670.829999998</v>
      </c>
      <c r="L24" s="5"/>
      <c r="M24" s="4"/>
      <c r="N24" s="40"/>
      <c r="O24" s="40"/>
      <c r="P24" s="40"/>
      <c r="Q24" s="40"/>
      <c r="R24" s="40"/>
      <c r="S24" s="40"/>
      <c r="T24" s="40"/>
      <c r="U24" s="40"/>
    </row>
    <row r="25" spans="1:21" ht="13.8" x14ac:dyDescent="0.25">
      <c r="A25" s="8">
        <v>47284</v>
      </c>
      <c r="B25" s="8"/>
      <c r="C25" s="5">
        <f>'Series Detail'!R27-'Series Detail'!Y27</f>
        <v>15495321.300000001</v>
      </c>
      <c r="D25" s="5"/>
      <c r="E25" s="5">
        <f>'Series Detail'!S27-'Series Detail'!AA27</f>
        <v>31929425</v>
      </c>
      <c r="F25" s="5"/>
      <c r="G25" s="5">
        <f>'Series Detail'!T27-'Series Detail'!AB27</f>
        <v>83719678.700000003</v>
      </c>
      <c r="H25" s="5"/>
      <c r="I25" s="5">
        <f>'Series Detail'!U27-'Series Detail'!AC27</f>
        <v>0</v>
      </c>
      <c r="J25" s="5"/>
      <c r="K25" s="5">
        <f t="shared" si="0"/>
        <v>131144425</v>
      </c>
      <c r="L25" s="5"/>
      <c r="M25" s="5">
        <f>+K24+K25</f>
        <v>215509095.82999998</v>
      </c>
      <c r="N25" s="40"/>
      <c r="O25" s="40"/>
      <c r="P25" s="40"/>
      <c r="Q25" s="40"/>
      <c r="R25" s="40"/>
      <c r="S25" s="40"/>
      <c r="T25" s="40"/>
      <c r="U25" s="40"/>
    </row>
    <row r="26" spans="1:21" ht="13.8" x14ac:dyDescent="0.25">
      <c r="A26" s="8">
        <v>47467</v>
      </c>
      <c r="B26" s="8"/>
      <c r="C26" s="5">
        <f>'Series Detail'!R28-'Series Detail'!Y28</f>
        <v>6595539.0499999998</v>
      </c>
      <c r="D26" s="5"/>
      <c r="E26" s="5">
        <f>'Series Detail'!S28-'Series Detail'!AA28</f>
        <v>31758375</v>
      </c>
      <c r="F26" s="5"/>
      <c r="G26" s="5">
        <f>'Series Detail'!T28-'Series Detail'!AB28</f>
        <v>155099460.94999999</v>
      </c>
      <c r="H26" s="5"/>
      <c r="I26" s="5">
        <f>'Series Detail'!U28-'Series Detail'!AC28</f>
        <v>0</v>
      </c>
      <c r="J26" s="5"/>
      <c r="K26" s="5">
        <f t="shared" si="0"/>
        <v>193453375</v>
      </c>
      <c r="L26" s="5"/>
      <c r="M26" s="4"/>
      <c r="N26" s="40"/>
      <c r="O26" s="40"/>
      <c r="P26" s="40"/>
      <c r="Q26" s="40"/>
      <c r="R26" s="40"/>
      <c r="S26" s="40"/>
      <c r="T26" s="40"/>
      <c r="U26" s="40"/>
    </row>
    <row r="27" spans="1:21" ht="13.8" x14ac:dyDescent="0.25">
      <c r="A27" s="8">
        <v>47649</v>
      </c>
      <c r="B27" s="8"/>
      <c r="C27" s="5">
        <f>'Series Detail'!R29-'Series Detail'!Y29</f>
        <v>3486095.6</v>
      </c>
      <c r="D27" s="5"/>
      <c r="E27" s="5">
        <f>'Series Detail'!S29-'Series Detail'!AA29</f>
        <v>31758375</v>
      </c>
      <c r="F27" s="5"/>
      <c r="G27" s="5">
        <f>'Series Detail'!T29-'Series Detail'!AB29</f>
        <v>87108904.400000006</v>
      </c>
      <c r="H27" s="5"/>
      <c r="I27" s="5">
        <f>'Series Detail'!U29-'Series Detail'!AC29</f>
        <v>0</v>
      </c>
      <c r="J27" s="5"/>
      <c r="K27" s="5">
        <f t="shared" si="0"/>
        <v>122353375</v>
      </c>
      <c r="L27" s="5"/>
      <c r="M27" s="5">
        <f>+K26+K27</f>
        <v>315806750</v>
      </c>
      <c r="N27" s="40"/>
      <c r="O27" s="40"/>
      <c r="P27" s="40"/>
      <c r="Q27" s="40"/>
      <c r="R27" s="40"/>
      <c r="S27" s="40"/>
      <c r="T27" s="40"/>
      <c r="U27" s="40"/>
    </row>
    <row r="28" spans="1:21" ht="13.8" x14ac:dyDescent="0.25">
      <c r="A28" s="8">
        <v>47832</v>
      </c>
      <c r="B28" s="8"/>
      <c r="C28" s="5">
        <f>'Series Detail'!R30-'Series Detail'!Y30</f>
        <v>12504528.5</v>
      </c>
      <c r="D28" s="5"/>
      <c r="E28" s="5">
        <f>'Series Detail'!S30-'Series Detail'!AA30</f>
        <v>31758375</v>
      </c>
      <c r="F28" s="5"/>
      <c r="G28" s="5">
        <f>'Series Detail'!T30-'Series Detail'!AB30</f>
        <v>155825471.5</v>
      </c>
      <c r="H28" s="5"/>
      <c r="I28" s="5">
        <f>'Series Detail'!U30-'Series Detail'!AC30</f>
        <v>0</v>
      </c>
      <c r="J28" s="5"/>
      <c r="K28" s="5">
        <f t="shared" si="0"/>
        <v>200088375</v>
      </c>
      <c r="L28" s="5"/>
      <c r="M28" s="4"/>
      <c r="N28" s="40"/>
      <c r="O28" s="40"/>
      <c r="P28" s="40"/>
      <c r="Q28" s="40"/>
      <c r="R28" s="40"/>
      <c r="S28" s="40"/>
      <c r="T28" s="40"/>
      <c r="U28" s="40"/>
    </row>
    <row r="29" spans="1:21" ht="13.8" x14ac:dyDescent="0.25">
      <c r="A29" s="8">
        <v>48014</v>
      </c>
      <c r="B29" s="8"/>
      <c r="C29" s="5">
        <f>'Series Detail'!R31-'Series Detail'!Y31</f>
        <v>3716425.6</v>
      </c>
      <c r="D29" s="5"/>
      <c r="E29" s="5">
        <f>'Series Detail'!S31-'Series Detail'!AA31</f>
        <v>31592500</v>
      </c>
      <c r="F29" s="5"/>
      <c r="G29" s="5">
        <f>'Series Detail'!T31-'Series Detail'!AB31</f>
        <v>92413574.400000006</v>
      </c>
      <c r="H29" s="5"/>
      <c r="I29" s="5">
        <f>'Series Detail'!U31-'Series Detail'!AC31</f>
        <v>0</v>
      </c>
      <c r="J29" s="5"/>
      <c r="K29" s="5">
        <f t="shared" si="0"/>
        <v>127722500</v>
      </c>
      <c r="L29" s="5"/>
      <c r="M29" s="5">
        <f>+K28+K29</f>
        <v>327810875</v>
      </c>
      <c r="N29" s="40"/>
      <c r="O29" s="40"/>
      <c r="P29" s="40"/>
      <c r="Q29" s="40"/>
      <c r="R29" s="40"/>
      <c r="S29" s="40"/>
      <c r="T29" s="40"/>
      <c r="U29" s="40"/>
    </row>
    <row r="30" spans="1:21" ht="13.8" x14ac:dyDescent="0.25">
      <c r="A30" s="8">
        <v>48197</v>
      </c>
      <c r="B30" s="8"/>
      <c r="C30" s="5">
        <f>'Series Detail'!R32-'Series Detail'!Y32</f>
        <v>9249365.4499999993</v>
      </c>
      <c r="D30" s="5"/>
      <c r="E30" s="5">
        <f>'Series Detail'!S32-'Series Detail'!AA32</f>
        <v>33002251.25</v>
      </c>
      <c r="F30" s="5"/>
      <c r="G30" s="5">
        <f>'Series Detail'!T32-'Series Detail'!AB32</f>
        <v>156470634.55000001</v>
      </c>
      <c r="H30" s="5"/>
      <c r="I30" s="5">
        <f>'Series Detail'!U32-'Series Detail'!AC32</f>
        <v>0</v>
      </c>
      <c r="J30" s="5"/>
      <c r="K30" s="5">
        <f t="shared" si="0"/>
        <v>198722251.25</v>
      </c>
      <c r="L30" s="5"/>
      <c r="M30" s="4"/>
      <c r="N30" s="40"/>
      <c r="O30" s="40"/>
      <c r="P30" s="40"/>
      <c r="Q30" s="40"/>
      <c r="R30" s="40"/>
      <c r="S30" s="40"/>
      <c r="T30" s="40"/>
      <c r="U30" s="40"/>
    </row>
    <row r="31" spans="1:21" ht="13.8" x14ac:dyDescent="0.25">
      <c r="A31" s="8">
        <v>48380</v>
      </c>
      <c r="B31" s="8"/>
      <c r="C31" s="5">
        <f>'Series Detail'!R33-'Series Detail'!Y33</f>
        <v>3401631.2</v>
      </c>
      <c r="D31" s="5"/>
      <c r="E31" s="5">
        <f>'Series Detail'!S33-'Series Detail'!AA33</f>
        <v>32901626.25</v>
      </c>
      <c r="F31" s="5"/>
      <c r="G31" s="5">
        <f>'Series Detail'!T33-'Series Detail'!AB33</f>
        <v>92773368.799999997</v>
      </c>
      <c r="H31" s="5"/>
      <c r="I31" s="5">
        <f>'Series Detail'!U33-'Series Detail'!AC33</f>
        <v>0</v>
      </c>
      <c r="J31" s="5"/>
      <c r="K31" s="5">
        <f t="shared" si="0"/>
        <v>129076626.25</v>
      </c>
      <c r="L31" s="5"/>
      <c r="M31" s="5">
        <f>+K30+K31</f>
        <v>327798877.5</v>
      </c>
      <c r="N31" s="40"/>
      <c r="O31" s="40"/>
      <c r="P31" s="40"/>
      <c r="Q31" s="40"/>
      <c r="R31" s="40"/>
      <c r="S31" s="40"/>
      <c r="T31" s="40"/>
      <c r="U31" s="40"/>
    </row>
    <row r="32" spans="1:21" ht="13.8" x14ac:dyDescent="0.25">
      <c r="A32" s="8">
        <v>48563</v>
      </c>
      <c r="B32" s="8"/>
      <c r="C32" s="5">
        <f>'Series Detail'!R34-'Series Detail'!Y34</f>
        <v>8868731.25</v>
      </c>
      <c r="D32" s="5"/>
      <c r="E32" s="5">
        <f>'Series Detail'!S34-'Series Detail'!AA34</f>
        <v>32889501.25</v>
      </c>
      <c r="F32" s="5"/>
      <c r="G32" s="5">
        <f>'Series Detail'!T34-'Series Detail'!AB34</f>
        <v>157046268.75</v>
      </c>
      <c r="H32" s="5"/>
      <c r="I32" s="5">
        <f>'Series Detail'!U34-'Series Detail'!AC34</f>
        <v>0</v>
      </c>
      <c r="J32" s="5"/>
      <c r="K32" s="5">
        <f t="shared" si="0"/>
        <v>198804501.25</v>
      </c>
      <c r="L32" s="5"/>
      <c r="M32" s="4"/>
      <c r="N32" s="40"/>
      <c r="O32" s="40"/>
      <c r="P32" s="40"/>
      <c r="Q32" s="40"/>
      <c r="R32" s="40"/>
      <c r="S32" s="40"/>
      <c r="T32" s="40"/>
      <c r="U32" s="40"/>
    </row>
    <row r="33" spans="1:21" ht="13.8" x14ac:dyDescent="0.25">
      <c r="A33" s="8">
        <v>48745</v>
      </c>
      <c r="B33" s="8"/>
      <c r="C33" s="5">
        <f>'Series Detail'!R35-'Series Detail'!Y35</f>
        <v>3130112.8</v>
      </c>
      <c r="D33" s="5"/>
      <c r="E33" s="5">
        <f>'Series Detail'!S35-'Series Detail'!AA35</f>
        <v>32784001.25</v>
      </c>
      <c r="F33" s="5"/>
      <c r="G33" s="5">
        <f>'Series Detail'!T35-'Series Detail'!AB35</f>
        <v>93094887.200000003</v>
      </c>
      <c r="H33" s="5"/>
      <c r="I33" s="5">
        <f>'Series Detail'!U35-'Series Detail'!AC35</f>
        <v>0</v>
      </c>
      <c r="J33" s="5"/>
      <c r="K33" s="5">
        <f t="shared" si="0"/>
        <v>129009001.25</v>
      </c>
      <c r="L33" s="5"/>
      <c r="M33" s="5">
        <f>+K32+K33</f>
        <v>327813502.5</v>
      </c>
      <c r="N33" s="40"/>
      <c r="O33" s="40"/>
      <c r="P33" s="40"/>
      <c r="Q33" s="40"/>
      <c r="R33" s="40"/>
      <c r="S33" s="40"/>
      <c r="T33" s="40"/>
      <c r="U33" s="40"/>
    </row>
    <row r="34" spans="1:21" ht="13.8" x14ac:dyDescent="0.25">
      <c r="A34" s="8">
        <v>48928</v>
      </c>
      <c r="B34" s="8"/>
      <c r="C34" s="5">
        <f>'Series Detail'!R36-'Series Detail'!Y36</f>
        <v>8542775.0500000007</v>
      </c>
      <c r="D34" s="5"/>
      <c r="E34" s="5">
        <f>'Series Detail'!S36-'Series Detail'!AA36</f>
        <v>32770626.25</v>
      </c>
      <c r="F34" s="5"/>
      <c r="G34" s="5">
        <f>'Series Detail'!T36-'Series Detail'!AB36</f>
        <v>157557224.94999999</v>
      </c>
      <c r="H34" s="5"/>
      <c r="I34" s="5">
        <f>'Series Detail'!U36-'Series Detail'!AC36</f>
        <v>0</v>
      </c>
      <c r="J34" s="5"/>
      <c r="K34" s="5">
        <f t="shared" si="0"/>
        <v>198870626.25</v>
      </c>
      <c r="L34" s="5"/>
      <c r="M34" s="4"/>
      <c r="N34" s="40"/>
      <c r="O34" s="40"/>
      <c r="P34" s="40"/>
      <c r="Q34" s="40"/>
      <c r="R34" s="40"/>
      <c r="S34" s="40"/>
      <c r="T34" s="40"/>
      <c r="U34" s="40"/>
    </row>
    <row r="35" spans="1:21" ht="13.8" x14ac:dyDescent="0.25">
      <c r="A35" s="8">
        <v>49110</v>
      </c>
      <c r="B35" s="8"/>
      <c r="C35" s="5">
        <f>'Series Detail'!R37-'Series Detail'!Y37</f>
        <v>2889956.6</v>
      </c>
      <c r="D35" s="5"/>
      <c r="E35" s="5">
        <f>'Series Detail'!S37-'Series Detail'!AA37</f>
        <v>32660501.25</v>
      </c>
      <c r="F35" s="5"/>
      <c r="G35" s="5">
        <f>'Series Detail'!T37-'Series Detail'!AB37</f>
        <v>93380043.400000006</v>
      </c>
      <c r="H35" s="5"/>
      <c r="I35" s="5">
        <f>'Series Detail'!U37-'Series Detail'!AC37</f>
        <v>0</v>
      </c>
      <c r="J35" s="5"/>
      <c r="K35" s="5">
        <f t="shared" si="0"/>
        <v>128930501.25</v>
      </c>
      <c r="L35" s="5"/>
      <c r="M35" s="5">
        <f>+K34+K35</f>
        <v>327801127.5</v>
      </c>
      <c r="N35" s="40"/>
      <c r="O35" s="40"/>
      <c r="P35" s="40"/>
      <c r="Q35" s="40"/>
      <c r="R35" s="40"/>
      <c r="S35" s="40"/>
      <c r="T35" s="40"/>
      <c r="U35" s="40"/>
    </row>
    <row r="36" spans="1:21" ht="13.8" x14ac:dyDescent="0.25">
      <c r="A36" s="8">
        <v>49293</v>
      </c>
      <c r="B36" s="8"/>
      <c r="C36" s="5">
        <f>'Series Detail'!R38-'Series Detail'!Y38</f>
        <v>8301795.1500000004</v>
      </c>
      <c r="D36" s="5"/>
      <c r="E36" s="5">
        <f>'Series Detail'!S38-'Series Detail'!AA38</f>
        <v>32646001.25</v>
      </c>
      <c r="F36" s="5"/>
      <c r="G36" s="5">
        <f>'Series Detail'!T38-'Series Detail'!AB38</f>
        <v>158013204.84999999</v>
      </c>
      <c r="H36" s="5"/>
      <c r="I36" s="5">
        <f>'Series Detail'!U38-'Series Detail'!AC38</f>
        <v>0</v>
      </c>
      <c r="J36" s="5"/>
      <c r="K36" s="5">
        <f t="shared" si="0"/>
        <v>198961001.25</v>
      </c>
      <c r="L36" s="5"/>
      <c r="M36" s="4"/>
      <c r="N36" s="40"/>
      <c r="O36" s="40"/>
      <c r="P36" s="40"/>
      <c r="Q36" s="40"/>
      <c r="R36" s="40"/>
      <c r="S36" s="40"/>
      <c r="T36" s="40"/>
      <c r="U36" s="40"/>
    </row>
    <row r="37" spans="1:21" ht="13.8" x14ac:dyDescent="0.25">
      <c r="A37" s="8">
        <v>49475</v>
      </c>
      <c r="B37" s="8"/>
      <c r="C37" s="5">
        <f>'Series Detail'!R39-'Series Detail'!Y39</f>
        <v>2685421.2</v>
      </c>
      <c r="D37" s="5"/>
      <c r="E37" s="5">
        <f>'Series Detail'!S39-'Series Detail'!AA39</f>
        <v>32530501.25</v>
      </c>
      <c r="F37" s="5"/>
      <c r="G37" s="5">
        <f>'Series Detail'!T39-'Series Detail'!AB39</f>
        <v>93634578.799999997</v>
      </c>
      <c r="H37" s="5"/>
      <c r="I37" s="5">
        <f>'Series Detail'!U39-'Series Detail'!AC39</f>
        <v>0</v>
      </c>
      <c r="J37" s="5"/>
      <c r="K37" s="5">
        <f t="shared" si="0"/>
        <v>128850501.25</v>
      </c>
      <c r="L37" s="5"/>
      <c r="M37" s="5">
        <f>+K36+K37</f>
        <v>327811502.5</v>
      </c>
      <c r="N37" s="40"/>
      <c r="O37" s="40"/>
      <c r="P37" s="40"/>
      <c r="Q37" s="40"/>
      <c r="R37" s="40"/>
      <c r="S37" s="40"/>
      <c r="T37" s="40"/>
      <c r="U37" s="40"/>
    </row>
    <row r="38" spans="1:21" ht="13.8" x14ac:dyDescent="0.25">
      <c r="A38" s="8">
        <v>49658</v>
      </c>
      <c r="B38" s="8"/>
      <c r="C38" s="5">
        <f>'Series Detail'!R40-'Series Detail'!Y40</f>
        <v>6555709.0500000007</v>
      </c>
      <c r="D38" s="5"/>
      <c r="E38" s="5">
        <f>'Series Detail'!S40-'Series Detail'!AA40</f>
        <v>32514751.25</v>
      </c>
      <c r="F38" s="5"/>
      <c r="G38" s="5">
        <f>'Series Detail'!T40-'Series Detail'!AB40</f>
        <v>159959290.94999999</v>
      </c>
      <c r="H38" s="5"/>
      <c r="I38" s="5">
        <f>'Series Detail'!U40-'Series Detail'!AC40</f>
        <v>0</v>
      </c>
      <c r="J38" s="5"/>
      <c r="K38" s="5">
        <f t="shared" si="0"/>
        <v>199029751.25</v>
      </c>
      <c r="L38" s="5"/>
      <c r="M38" s="4"/>
      <c r="N38" s="40"/>
      <c r="O38" s="40"/>
      <c r="P38" s="40"/>
      <c r="Q38" s="40"/>
      <c r="R38" s="40"/>
      <c r="S38" s="40"/>
      <c r="T38" s="40"/>
      <c r="U38" s="40"/>
    </row>
    <row r="39" spans="1:21" ht="13.8" x14ac:dyDescent="0.25">
      <c r="A39" s="8">
        <v>49841</v>
      </c>
      <c r="B39" s="8"/>
      <c r="C39" s="5">
        <f>'Series Detail'!R41-'Series Detail'!Y41</f>
        <v>2514592.8000000007</v>
      </c>
      <c r="D39" s="5"/>
      <c r="E39" s="5">
        <f>'Series Detail'!S41-'Series Detail'!AA41</f>
        <v>32399208.75</v>
      </c>
      <c r="F39" s="5"/>
      <c r="G39" s="5">
        <f>'Series Detail'!T41-'Series Detail'!AB41</f>
        <v>93860407.200000003</v>
      </c>
      <c r="H39" s="5"/>
      <c r="I39" s="5">
        <f>'Series Detail'!U41-'Series Detail'!AC41</f>
        <v>0</v>
      </c>
      <c r="J39" s="5"/>
      <c r="K39" s="5">
        <f t="shared" si="0"/>
        <v>128774208.75</v>
      </c>
      <c r="L39" s="5"/>
      <c r="M39" s="5">
        <f>+K38+K39</f>
        <v>327803960</v>
      </c>
      <c r="N39" s="40"/>
      <c r="O39" s="40"/>
      <c r="P39" s="40"/>
      <c r="Q39" s="40"/>
      <c r="R39" s="40"/>
      <c r="S39" s="40"/>
      <c r="T39" s="40"/>
      <c r="U39" s="40"/>
    </row>
    <row r="40" spans="1:21" ht="13.8" x14ac:dyDescent="0.25">
      <c r="A40" s="8">
        <v>50024</v>
      </c>
      <c r="B40" s="8"/>
      <c r="C40" s="5">
        <f>'Series Detail'!R42-'Series Detail'!Y42</f>
        <v>6338153.4000000004</v>
      </c>
      <c r="D40" s="5"/>
      <c r="E40" s="5">
        <f>'Series Detail'!S42-'Series Detail'!AA42</f>
        <v>32382083.75</v>
      </c>
      <c r="F40" s="5"/>
      <c r="G40" s="5">
        <f>'Series Detail'!T42-'Series Detail'!AB42</f>
        <v>160396846.59999999</v>
      </c>
      <c r="H40" s="5"/>
      <c r="I40" s="5">
        <f>'Series Detail'!U42-'Series Detail'!AC42</f>
        <v>0</v>
      </c>
      <c r="J40" s="5"/>
      <c r="K40" s="5">
        <f t="shared" si="0"/>
        <v>199117083.75</v>
      </c>
      <c r="L40" s="5"/>
      <c r="M40" s="4"/>
      <c r="N40" s="40"/>
      <c r="O40" s="40"/>
      <c r="P40" s="40"/>
      <c r="Q40" s="40"/>
      <c r="R40" s="40"/>
      <c r="S40" s="40"/>
      <c r="T40" s="40"/>
      <c r="U40" s="40"/>
    </row>
    <row r="41" spans="1:21" ht="13.8" x14ac:dyDescent="0.25">
      <c r="A41" s="8">
        <v>50206</v>
      </c>
      <c r="B41" s="8"/>
      <c r="C41" s="5">
        <f>'Series Detail'!R43-'Series Detail'!Y43</f>
        <v>2368643.8000000007</v>
      </c>
      <c r="D41" s="5"/>
      <c r="E41" s="5">
        <f>'Series Detail'!S43-'Series Detail'!AA43</f>
        <v>32261288.75</v>
      </c>
      <c r="F41" s="5"/>
      <c r="G41" s="5">
        <f>'Series Detail'!T43-'Series Detail'!AB43</f>
        <v>94061356.200000003</v>
      </c>
      <c r="H41" s="5"/>
      <c r="I41" s="5">
        <f>'Series Detail'!U43-'Series Detail'!AC43</f>
        <v>0</v>
      </c>
      <c r="J41" s="5"/>
      <c r="K41" s="5">
        <f t="shared" si="0"/>
        <v>128691288.75</v>
      </c>
      <c r="L41" s="5"/>
      <c r="M41" s="5">
        <f>+K40+K41</f>
        <v>327808372.5</v>
      </c>
      <c r="N41" s="40"/>
      <c r="O41" s="40"/>
      <c r="P41" s="40"/>
      <c r="Q41" s="40"/>
      <c r="R41" s="40"/>
      <c r="S41" s="40"/>
      <c r="T41" s="40"/>
      <c r="U41" s="40"/>
    </row>
    <row r="42" spans="1:21" ht="13.8" x14ac:dyDescent="0.25">
      <c r="A42" s="8">
        <v>50389</v>
      </c>
      <c r="B42" s="8"/>
      <c r="C42" s="5">
        <f>'Series Detail'!R44-'Series Detail'!Y44</f>
        <v>6159404.5500000007</v>
      </c>
      <c r="D42" s="5"/>
      <c r="E42" s="5">
        <f>'Series Detail'!S44-'Series Detail'!AA44</f>
        <v>32242788.75</v>
      </c>
      <c r="F42" s="5"/>
      <c r="G42" s="5">
        <f>'Series Detail'!T44-'Series Detail'!AB44</f>
        <v>160795595.44999999</v>
      </c>
      <c r="H42" s="5"/>
      <c r="I42" s="5">
        <f>'Series Detail'!U44-'Series Detail'!AC44</f>
        <v>0</v>
      </c>
      <c r="J42" s="5"/>
      <c r="K42" s="5">
        <f t="shared" si="0"/>
        <v>199197788.75</v>
      </c>
      <c r="L42" s="5"/>
      <c r="M42" s="4"/>
      <c r="N42" s="40"/>
      <c r="O42" s="40"/>
      <c r="P42" s="40"/>
      <c r="Q42" s="40"/>
      <c r="R42" s="40"/>
      <c r="S42" s="40"/>
      <c r="T42" s="40"/>
      <c r="U42" s="40"/>
    </row>
    <row r="43" spans="1:21" ht="13.8" x14ac:dyDescent="0.25">
      <c r="A43" s="8">
        <v>50571</v>
      </c>
      <c r="B43" s="8"/>
      <c r="C43" s="5">
        <f>'Series Detail'!R45-'Series Detail'!Y45</f>
        <v>2248746.5999999996</v>
      </c>
      <c r="D43" s="5"/>
      <c r="E43" s="5">
        <f>'Series Detail'!S45-'Series Detail'!AA45</f>
        <v>32116741.25</v>
      </c>
      <c r="F43" s="5"/>
      <c r="G43" s="5">
        <f>'Series Detail'!T45-'Series Detail'!AB45</f>
        <v>94241253.400000006</v>
      </c>
      <c r="H43" s="5"/>
      <c r="I43" s="5">
        <f>'Series Detail'!U45-'Series Detail'!AC45</f>
        <v>0</v>
      </c>
      <c r="J43" s="5"/>
      <c r="K43" s="5">
        <f t="shared" si="0"/>
        <v>128606741.25</v>
      </c>
      <c r="L43" s="5"/>
      <c r="M43" s="5">
        <f>+K42+K43</f>
        <v>327804530</v>
      </c>
      <c r="N43" s="40"/>
      <c r="O43" s="40"/>
      <c r="P43" s="40"/>
      <c r="Q43" s="40"/>
      <c r="R43" s="40"/>
      <c r="S43" s="40"/>
      <c r="T43" s="40"/>
      <c r="U43" s="40"/>
    </row>
    <row r="44" spans="1:21" ht="13.8" x14ac:dyDescent="0.25">
      <c r="A44" s="8">
        <v>50754</v>
      </c>
      <c r="B44" s="8"/>
      <c r="C44" s="5">
        <f>'Series Detail'!R46-'Series Detail'!Y46</f>
        <v>5990942.8500000015</v>
      </c>
      <c r="D44" s="5"/>
      <c r="E44" s="5">
        <f>'Series Detail'!S46-'Series Detail'!AA46</f>
        <v>32096741.25</v>
      </c>
      <c r="F44" s="5"/>
      <c r="G44" s="5">
        <f>'Series Detail'!T46-'Series Detail'!AB46</f>
        <v>161204057.14999998</v>
      </c>
      <c r="H44" s="5"/>
      <c r="I44" s="5">
        <f>'Series Detail'!U46-'Series Detail'!AC46</f>
        <v>0</v>
      </c>
      <c r="J44" s="5"/>
      <c r="K44" s="5">
        <f t="shared" si="0"/>
        <v>199291741.24999997</v>
      </c>
      <c r="L44" s="5"/>
      <c r="M44" s="4"/>
      <c r="N44" s="40"/>
      <c r="O44" s="40"/>
      <c r="P44" s="40"/>
      <c r="Q44" s="40"/>
      <c r="R44" s="40"/>
      <c r="S44" s="40"/>
      <c r="T44" s="40"/>
      <c r="U44" s="40"/>
    </row>
    <row r="45" spans="1:21" ht="13.8" x14ac:dyDescent="0.25">
      <c r="A45" s="8">
        <v>50936</v>
      </c>
      <c r="B45" s="8"/>
      <c r="C45" s="5">
        <f>'Series Detail'!R47-'Series Detail'!Y47</f>
        <v>2154901.1999999993</v>
      </c>
      <c r="D45" s="5"/>
      <c r="E45" s="5">
        <f>'Series Detail'!S47-'Series Detail'!AA47</f>
        <v>31962102.5</v>
      </c>
      <c r="F45" s="5"/>
      <c r="G45" s="5">
        <f>'Series Detail'!T47-'Series Detail'!AB47</f>
        <v>94400098.799999997</v>
      </c>
      <c r="H45" s="5"/>
      <c r="I45" s="5">
        <f>'Series Detail'!U47-'Series Detail'!AC47</f>
        <v>0</v>
      </c>
      <c r="J45" s="5"/>
      <c r="K45" s="5">
        <f t="shared" si="0"/>
        <v>128517102.5</v>
      </c>
      <c r="L45" s="5"/>
      <c r="M45" s="5">
        <f>+K44+K45</f>
        <v>327808843.75</v>
      </c>
      <c r="N45" s="40"/>
      <c r="O45" s="40"/>
      <c r="P45" s="40"/>
      <c r="Q45" s="40"/>
      <c r="R45" s="40"/>
      <c r="S45" s="40"/>
      <c r="T45" s="40"/>
      <c r="U45" s="40"/>
    </row>
    <row r="46" spans="1:21" ht="13.8" x14ac:dyDescent="0.25">
      <c r="A46" s="8">
        <v>51119</v>
      </c>
      <c r="B46" s="8"/>
      <c r="C46" s="5">
        <f>'Series Detail'!R48-'Series Detail'!Y48</f>
        <v>5897223.4499999993</v>
      </c>
      <c r="D46" s="5"/>
      <c r="E46" s="5">
        <f>'Series Detail'!S48-'Series Detail'!AA48</f>
        <v>31940477.5</v>
      </c>
      <c r="F46" s="5"/>
      <c r="G46" s="5">
        <f>'Series Detail'!T48-'Series Detail'!AB48</f>
        <v>161547776.55000001</v>
      </c>
      <c r="H46" s="5"/>
      <c r="I46" s="5">
        <f>'Series Detail'!U48-'Series Detail'!AC48</f>
        <v>0</v>
      </c>
      <c r="J46" s="5"/>
      <c r="K46" s="5">
        <f t="shared" si="0"/>
        <v>199385477.5</v>
      </c>
      <c r="L46" s="5"/>
      <c r="M46" s="4"/>
      <c r="N46" s="40"/>
      <c r="O46" s="40"/>
      <c r="P46" s="40"/>
      <c r="Q46" s="40"/>
      <c r="R46" s="40"/>
      <c r="S46" s="40"/>
      <c r="T46" s="40"/>
      <c r="U46" s="40"/>
    </row>
    <row r="47" spans="1:21" ht="13.8" x14ac:dyDescent="0.25">
      <c r="A47" s="8">
        <v>51302</v>
      </c>
      <c r="B47" s="8"/>
      <c r="C47" s="5">
        <f>'Series Detail'!R49-'Series Detail'!Y49</f>
        <v>2077323.0999999996</v>
      </c>
      <c r="D47" s="5"/>
      <c r="E47" s="5">
        <f>'Series Detail'!S49-'Series Detail'!AA49</f>
        <v>31799727.5</v>
      </c>
      <c r="F47" s="5"/>
      <c r="G47" s="5">
        <f>'Series Detail'!T49-'Series Detail'!AB49</f>
        <v>94542676.900000006</v>
      </c>
      <c r="H47" s="5"/>
      <c r="I47" s="5">
        <f>'Series Detail'!U49-'Series Detail'!AC49</f>
        <v>0</v>
      </c>
      <c r="J47" s="5"/>
      <c r="K47" s="5">
        <f t="shared" si="0"/>
        <v>128419727.5</v>
      </c>
      <c r="L47" s="5"/>
      <c r="M47" s="5">
        <f>+K46+K47</f>
        <v>327805205</v>
      </c>
      <c r="N47" s="40"/>
      <c r="O47" s="40"/>
      <c r="P47" s="40"/>
      <c r="Q47" s="40"/>
      <c r="R47" s="40"/>
      <c r="S47" s="40"/>
      <c r="T47" s="40"/>
      <c r="U47" s="40"/>
    </row>
    <row r="48" spans="1:21" ht="13.8" x14ac:dyDescent="0.25">
      <c r="A48" s="8">
        <v>51485</v>
      </c>
      <c r="B48" s="8"/>
      <c r="C48" s="5">
        <f>'Series Detail'!R50-'Series Detail'!Y50</f>
        <v>5842839.3499999996</v>
      </c>
      <c r="D48" s="5"/>
      <c r="E48" s="5">
        <f>'Series Detail'!S50-'Series Detail'!AA50</f>
        <v>31776477.5</v>
      </c>
      <c r="F48" s="5"/>
      <c r="G48" s="5">
        <f>'Series Detail'!T50-'Series Detail'!AB50</f>
        <v>161867160.65000001</v>
      </c>
      <c r="H48" s="5"/>
      <c r="I48" s="5">
        <f>'Series Detail'!U50-'Series Detail'!AC50</f>
        <v>0</v>
      </c>
      <c r="J48" s="5"/>
      <c r="K48" s="5">
        <f t="shared" si="0"/>
        <v>199486477.5</v>
      </c>
      <c r="L48" s="5"/>
      <c r="M48" s="4"/>
      <c r="N48" s="40"/>
      <c r="O48" s="40"/>
      <c r="P48" s="40"/>
      <c r="Q48" s="40"/>
      <c r="R48" s="40"/>
      <c r="S48" s="40"/>
      <c r="T48" s="40"/>
      <c r="U48" s="40"/>
    </row>
    <row r="49" spans="1:21" ht="13.8" x14ac:dyDescent="0.25">
      <c r="A49" s="8">
        <v>51667</v>
      </c>
      <c r="B49" s="8"/>
      <c r="C49" s="5">
        <f>'Series Detail'!R51-'Series Detail'!Y51</f>
        <v>14792558</v>
      </c>
      <c r="D49" s="5"/>
      <c r="E49" s="5">
        <f>'Series Detail'!S51-'Series Detail'!AA51</f>
        <v>31629248.75</v>
      </c>
      <c r="F49" s="5"/>
      <c r="G49" s="5">
        <f>'Series Detail'!T51-'Series Detail'!AB51</f>
        <v>81897298.599999994</v>
      </c>
      <c r="H49" s="5"/>
      <c r="I49" s="5">
        <f>'Series Detail'!U51-'Series Detail'!AC51</f>
        <v>0</v>
      </c>
      <c r="J49" s="5"/>
      <c r="K49" s="5">
        <f t="shared" si="0"/>
        <v>128319105.34999999</v>
      </c>
      <c r="L49" s="5"/>
      <c r="M49" s="5">
        <f>+K48+K49</f>
        <v>327805582.85000002</v>
      </c>
      <c r="N49" s="40"/>
      <c r="O49" s="40"/>
      <c r="P49" s="40"/>
      <c r="Q49" s="40"/>
      <c r="R49" s="40"/>
      <c r="S49" s="40"/>
      <c r="T49" s="40"/>
      <c r="U49" s="40"/>
    </row>
    <row r="50" spans="1:21" ht="13.8" x14ac:dyDescent="0.25">
      <c r="A50" s="8">
        <v>51850</v>
      </c>
      <c r="B50" s="8"/>
      <c r="C50" s="5">
        <f>'Series Detail'!R52-'Series Detail'!Y52</f>
        <v>13691135.400000006</v>
      </c>
      <c r="D50" s="5"/>
      <c r="E50" s="5">
        <f>'Series Detail'!S52-'Series Detail'!AA52</f>
        <v>31605873.75</v>
      </c>
      <c r="F50" s="5"/>
      <c r="G50" s="5">
        <f>'Series Detail'!T52-'Series Detail'!AB52</f>
        <v>34863864.600000001</v>
      </c>
      <c r="H50" s="5"/>
      <c r="I50" s="5">
        <f>'Series Detail'!U52-'Series Detail'!AC52</f>
        <v>0</v>
      </c>
      <c r="J50" s="5"/>
      <c r="K50" s="5">
        <f t="shared" si="0"/>
        <v>80160873.75</v>
      </c>
      <c r="L50" s="5"/>
      <c r="M50" s="4"/>
      <c r="N50" s="40"/>
      <c r="O50" s="40"/>
      <c r="P50" s="40"/>
      <c r="Q50" s="40"/>
      <c r="R50" s="40"/>
      <c r="S50" s="40"/>
      <c r="T50" s="40"/>
      <c r="U50" s="40"/>
    </row>
    <row r="51" spans="1:21" ht="13.8" x14ac:dyDescent="0.25">
      <c r="A51" s="8">
        <v>52032</v>
      </c>
      <c r="B51" s="8"/>
      <c r="C51" s="5">
        <f>'Series Detail'!R53-'Series Detail'!Y53</f>
        <v>65510000</v>
      </c>
      <c r="D51" s="5"/>
      <c r="E51" s="5">
        <f>'Series Detail'!S53-'Series Detail'!AA53</f>
        <v>31426181.25</v>
      </c>
      <c r="F51" s="5"/>
      <c r="G51" s="5">
        <f>'Series Detail'!T53-'Series Detail'!AB53</f>
        <v>0</v>
      </c>
      <c r="H51" s="5"/>
      <c r="I51" s="5">
        <f>'Series Detail'!U53-'Series Detail'!AC53</f>
        <v>0</v>
      </c>
      <c r="J51" s="5"/>
      <c r="K51" s="5">
        <f t="shared" si="0"/>
        <v>96936181.25</v>
      </c>
      <c r="L51" s="5"/>
      <c r="M51" s="5">
        <f>+K50+K51</f>
        <v>177097055</v>
      </c>
      <c r="N51" s="40"/>
      <c r="O51" s="40"/>
      <c r="P51" s="40"/>
      <c r="Q51" s="40"/>
      <c r="R51" s="40"/>
      <c r="S51" s="40"/>
      <c r="T51" s="40"/>
      <c r="U51" s="40"/>
    </row>
    <row r="52" spans="1:21" ht="13.8" x14ac:dyDescent="0.25">
      <c r="A52" s="8">
        <v>52215</v>
      </c>
      <c r="B52" s="8"/>
      <c r="C52" s="5">
        <f>'Series Detail'!R54-'Series Detail'!Y54</f>
        <v>7083967.5</v>
      </c>
      <c r="D52" s="5"/>
      <c r="E52" s="5">
        <f>'Series Detail'!S54-'Series Detail'!AA54</f>
        <v>29788431.25</v>
      </c>
      <c r="F52" s="5"/>
      <c r="G52" s="5">
        <f>'Series Detail'!T54-'Series Detail'!AB54</f>
        <v>2206032.5</v>
      </c>
      <c r="H52" s="5"/>
      <c r="I52" s="5">
        <f>'Series Detail'!U54-'Series Detail'!AC54</f>
        <v>0</v>
      </c>
      <c r="J52" s="5"/>
      <c r="K52" s="5">
        <f t="shared" si="0"/>
        <v>39078431.25</v>
      </c>
      <c r="L52" s="5"/>
      <c r="M52" s="4"/>
      <c r="N52" s="40"/>
      <c r="O52" s="40"/>
      <c r="P52" s="40"/>
      <c r="Q52" s="40"/>
      <c r="R52" s="40"/>
      <c r="S52" s="40"/>
      <c r="T52" s="40"/>
      <c r="U52" s="40"/>
    </row>
    <row r="53" spans="1:21" ht="13.8" x14ac:dyDescent="0.25">
      <c r="A53" s="8">
        <v>52397</v>
      </c>
      <c r="B53" s="8"/>
      <c r="C53" s="5">
        <f>'Series Detail'!R55-'Series Detail'!Y55</f>
        <v>36068329.5</v>
      </c>
      <c r="D53" s="5"/>
      <c r="E53" s="5">
        <f>'Series Detail'!S55-'Series Detail'!AA55</f>
        <v>29559650</v>
      </c>
      <c r="F53" s="5"/>
      <c r="G53" s="5">
        <f>'Series Detail'!T55-'Series Detail'!AB55</f>
        <v>231401670.5</v>
      </c>
      <c r="H53" s="5"/>
      <c r="I53" s="5">
        <f>'Series Detail'!U55-'Series Detail'!AC55</f>
        <v>0</v>
      </c>
      <c r="J53" s="5"/>
      <c r="K53" s="5">
        <f t="shared" si="0"/>
        <v>297029650</v>
      </c>
      <c r="L53" s="5"/>
      <c r="M53" s="5">
        <f>+K52+K53</f>
        <v>336108081.25</v>
      </c>
      <c r="N53" s="40"/>
      <c r="O53" s="40"/>
      <c r="P53" s="40"/>
      <c r="Q53" s="40"/>
      <c r="R53" s="40"/>
      <c r="S53" s="40"/>
      <c r="T53" s="40"/>
      <c r="U53" s="40"/>
    </row>
    <row r="54" spans="1:21" ht="13.8" x14ac:dyDescent="0.25">
      <c r="A54" s="8">
        <v>52580</v>
      </c>
      <c r="B54" s="8"/>
      <c r="C54" s="5">
        <f>'Series Detail'!R56-'Series Detail'!Y56</f>
        <v>7408537.6000000015</v>
      </c>
      <c r="D54" s="5"/>
      <c r="E54" s="5">
        <f>'Series Detail'!S56-'Series Detail'!AA56</f>
        <v>29559650</v>
      </c>
      <c r="F54" s="5"/>
      <c r="G54" s="5">
        <f>'Series Detail'!T56-'Series Detail'!AB56</f>
        <v>2351462.3999999999</v>
      </c>
      <c r="H54" s="5"/>
      <c r="I54" s="5">
        <f>'Series Detail'!U56-'Series Detail'!AC56</f>
        <v>0</v>
      </c>
      <c r="J54" s="5"/>
      <c r="K54" s="5">
        <f t="shared" si="0"/>
        <v>39319650</v>
      </c>
      <c r="L54" s="5"/>
      <c r="M54" s="4"/>
      <c r="N54" s="40"/>
      <c r="O54" s="40"/>
      <c r="P54" s="40"/>
      <c r="Q54" s="40"/>
      <c r="R54" s="40"/>
      <c r="S54" s="40"/>
      <c r="T54" s="40"/>
      <c r="U54" s="40"/>
    </row>
    <row r="55" spans="1:21" ht="13.8" x14ac:dyDescent="0.25">
      <c r="A55" s="8">
        <v>52763</v>
      </c>
      <c r="B55" s="8"/>
      <c r="C55" s="5">
        <f>'Series Detail'!R57-'Series Detail'!Y57</f>
        <v>33701220</v>
      </c>
      <c r="D55" s="5"/>
      <c r="E55" s="5">
        <f>'Series Detail'!S57-'Series Detail'!AA57</f>
        <v>29316865</v>
      </c>
      <c r="F55" s="5"/>
      <c r="G55" s="5">
        <f>'Series Detail'!T57-'Series Detail'!AB57</f>
        <v>233768780</v>
      </c>
      <c r="H55" s="5"/>
      <c r="I55" s="5">
        <f>'Series Detail'!U57-'Series Detail'!AC57</f>
        <v>0</v>
      </c>
      <c r="J55" s="5"/>
      <c r="K55" s="5">
        <f t="shared" si="0"/>
        <v>296786865</v>
      </c>
      <c r="L55" s="5"/>
      <c r="M55" s="5">
        <f>+K54+K55</f>
        <v>336106515</v>
      </c>
      <c r="N55" s="40"/>
      <c r="O55" s="40"/>
      <c r="P55" s="40"/>
      <c r="Q55" s="40"/>
      <c r="R55" s="40"/>
      <c r="S55" s="40"/>
      <c r="T55" s="40"/>
      <c r="U55" s="40"/>
    </row>
    <row r="56" spans="1:21" ht="13.8" x14ac:dyDescent="0.25">
      <c r="A56" s="8">
        <v>52946</v>
      </c>
      <c r="B56" s="8"/>
      <c r="C56" s="5">
        <f>'Series Detail'!R58-'Series Detail'!Y58</f>
        <v>7792577.6000000015</v>
      </c>
      <c r="D56" s="5"/>
      <c r="E56" s="5">
        <f>'Series Detail'!S58-'Series Detail'!AA58</f>
        <v>29316865</v>
      </c>
      <c r="F56" s="5"/>
      <c r="G56" s="5">
        <f>'Series Detail'!T58-'Series Detail'!AB58</f>
        <v>2472422.3999999999</v>
      </c>
      <c r="H56" s="5"/>
      <c r="I56" s="5">
        <f>'Series Detail'!U58-'Series Detail'!AC58</f>
        <v>0</v>
      </c>
      <c r="J56" s="5"/>
      <c r="K56" s="5">
        <f t="shared" si="0"/>
        <v>39581865</v>
      </c>
      <c r="L56" s="5"/>
      <c r="M56" s="4"/>
      <c r="N56" s="40"/>
      <c r="O56" s="40"/>
      <c r="P56" s="40"/>
      <c r="Q56" s="40"/>
      <c r="R56" s="40"/>
      <c r="S56" s="40"/>
      <c r="T56" s="40"/>
      <c r="U56" s="40"/>
    </row>
    <row r="57" spans="1:21" ht="13.8" x14ac:dyDescent="0.25">
      <c r="A57" s="8">
        <v>53128</v>
      </c>
      <c r="B57" s="8"/>
      <c r="C57" s="5">
        <f>'Series Detail'!R59-'Series Detail'!Y59</f>
        <v>31689253.199999999</v>
      </c>
      <c r="D57" s="5"/>
      <c r="E57" s="5">
        <f>'Series Detail'!S59-'Series Detail'!AA59</f>
        <v>29061517.5</v>
      </c>
      <c r="F57" s="5"/>
      <c r="G57" s="5">
        <f>'Series Detail'!T59-'Series Detail'!AB59</f>
        <v>235775746.80000001</v>
      </c>
      <c r="H57" s="5"/>
      <c r="I57" s="5">
        <f>'Series Detail'!U59-'Series Detail'!AC59</f>
        <v>0</v>
      </c>
      <c r="J57" s="5"/>
      <c r="K57" s="5">
        <f t="shared" si="0"/>
        <v>296526517.5</v>
      </c>
      <c r="L57" s="5"/>
      <c r="M57" s="5">
        <f>+K56+K57</f>
        <v>336108382.5</v>
      </c>
      <c r="N57" s="40"/>
      <c r="O57" s="40"/>
      <c r="P57" s="40"/>
      <c r="Q57" s="40"/>
      <c r="R57" s="40"/>
      <c r="S57" s="40"/>
      <c r="T57" s="40"/>
      <c r="U57" s="40"/>
    </row>
    <row r="58" spans="1:21" ht="13.8" x14ac:dyDescent="0.25">
      <c r="A58" s="8">
        <v>53311</v>
      </c>
      <c r="B58" s="8"/>
      <c r="C58" s="5">
        <f>'Series Detail'!R60-'Series Detail'!Y60</f>
        <v>8184198.3999999985</v>
      </c>
      <c r="D58" s="5"/>
      <c r="E58" s="5">
        <f>'Series Detail'!S60-'Series Detail'!AA60</f>
        <v>29061517.5</v>
      </c>
      <c r="F58" s="5"/>
      <c r="G58" s="5">
        <f>'Series Detail'!T60-'Series Detail'!AB60</f>
        <v>2595801.6</v>
      </c>
      <c r="H58" s="5"/>
      <c r="I58" s="5">
        <f>'Series Detail'!U60-'Series Detail'!AC60</f>
        <v>0</v>
      </c>
      <c r="J58" s="5"/>
      <c r="K58" s="5">
        <f t="shared" si="0"/>
        <v>39841517.5</v>
      </c>
      <c r="L58" s="5"/>
      <c r="M58" s="4"/>
      <c r="N58" s="40"/>
      <c r="O58" s="40"/>
      <c r="P58" s="40"/>
      <c r="Q58" s="40"/>
      <c r="R58" s="40"/>
      <c r="S58" s="40"/>
      <c r="T58" s="40"/>
      <c r="U58" s="40"/>
    </row>
    <row r="59" spans="1:21" ht="13.8" x14ac:dyDescent="0.25">
      <c r="A59" s="8">
        <v>53493</v>
      </c>
      <c r="B59" s="8"/>
      <c r="C59" s="5">
        <f>'Series Detail'!R61-'Series Detail'!Y61</f>
        <v>29798832.699999999</v>
      </c>
      <c r="D59" s="5"/>
      <c r="E59" s="5">
        <f>'Series Detail'!S61-'Series Detail'!AA61</f>
        <v>28793358.75</v>
      </c>
      <c r="F59" s="5"/>
      <c r="G59" s="5">
        <f>'Series Detail'!T61-'Series Detail'!AB61</f>
        <v>237671167.30000001</v>
      </c>
      <c r="H59" s="5"/>
      <c r="I59" s="5">
        <f>'Series Detail'!U61-'Series Detail'!AC61</f>
        <v>0</v>
      </c>
      <c r="J59" s="5"/>
      <c r="K59" s="5">
        <f t="shared" si="0"/>
        <v>296263358.75</v>
      </c>
      <c r="L59" s="5"/>
      <c r="M59" s="5">
        <f>+K58+K59</f>
        <v>336104876.25</v>
      </c>
      <c r="N59" s="40"/>
      <c r="O59" s="40"/>
      <c r="P59" s="40"/>
      <c r="Q59" s="40"/>
      <c r="R59" s="40"/>
      <c r="S59" s="40"/>
      <c r="T59" s="40"/>
      <c r="U59" s="40"/>
    </row>
    <row r="60" spans="1:21" ht="13.8" x14ac:dyDescent="0.25">
      <c r="A60" s="8">
        <v>53676</v>
      </c>
      <c r="B60" s="8"/>
      <c r="C60" s="5">
        <f>'Series Detail'!R62-'Series Detail'!Y62</f>
        <v>63856142.400000006</v>
      </c>
      <c r="D60" s="5"/>
      <c r="E60" s="5">
        <f>'Series Detail'!S62-'Series Detail'!AA62</f>
        <v>28793358.75</v>
      </c>
      <c r="F60" s="5"/>
      <c r="G60" s="5">
        <f>'Series Detail'!T62-'Series Detail'!AB62</f>
        <v>2728857.6000000001</v>
      </c>
      <c r="H60" s="5"/>
      <c r="I60" s="5">
        <f>'Series Detail'!U62-'Series Detail'!AC62</f>
        <v>0</v>
      </c>
      <c r="J60" s="5"/>
      <c r="K60" s="5">
        <f t="shared" si="0"/>
        <v>95378358.75</v>
      </c>
      <c r="L60" s="5"/>
      <c r="M60" s="4"/>
      <c r="N60" s="40"/>
      <c r="O60" s="40"/>
      <c r="P60" s="40"/>
      <c r="Q60" s="40"/>
      <c r="R60" s="40"/>
      <c r="S60" s="40"/>
      <c r="T60" s="40"/>
      <c r="U60" s="40"/>
    </row>
    <row r="61" spans="1:21" ht="13.8" x14ac:dyDescent="0.25">
      <c r="A61" s="8">
        <v>53858</v>
      </c>
      <c r="B61" s="8"/>
      <c r="C61" s="5">
        <f>'Series Detail'!R63-'Series Detail'!Y63</f>
        <v>22376212.199999999</v>
      </c>
      <c r="D61" s="5"/>
      <c r="E61" s="5">
        <f>'Series Detail'!S63-'Series Detail'!AA63</f>
        <v>27130143.75</v>
      </c>
      <c r="F61" s="5"/>
      <c r="G61" s="5">
        <f>'Series Detail'!T63-'Series Detail'!AB63</f>
        <v>191218787.80000001</v>
      </c>
      <c r="H61" s="5"/>
      <c r="I61" s="5">
        <f>'Series Detail'!U63-'Series Detail'!AC63</f>
        <v>0</v>
      </c>
      <c r="J61" s="5"/>
      <c r="K61" s="5">
        <f t="shared" si="0"/>
        <v>240725143.75</v>
      </c>
      <c r="L61" s="5"/>
      <c r="M61" s="5">
        <f>+K60+K61</f>
        <v>336103502.5</v>
      </c>
      <c r="N61" s="40"/>
      <c r="O61" s="40"/>
      <c r="P61" s="40"/>
      <c r="Q61" s="40"/>
      <c r="R61" s="40"/>
      <c r="S61" s="40"/>
      <c r="T61" s="40"/>
      <c r="U61" s="40"/>
    </row>
    <row r="62" spans="1:21" ht="13.8" x14ac:dyDescent="0.25">
      <c r="A62" s="8">
        <v>54041</v>
      </c>
      <c r="B62" s="8"/>
      <c r="C62" s="5">
        <f>'Series Detail'!R64-'Series Detail'!Y64</f>
        <v>171333248</v>
      </c>
      <c r="D62" s="5"/>
      <c r="E62" s="5">
        <f>'Series Detail'!S64-'Series Detail'!AA64</f>
        <v>27130143.75</v>
      </c>
      <c r="F62" s="5"/>
      <c r="G62" s="5">
        <f>'Series Detail'!T64-'Series Detail'!AB64</f>
        <v>2866752</v>
      </c>
      <c r="H62" s="5"/>
      <c r="I62" s="5">
        <f>'Series Detail'!U64-'Series Detail'!AC64</f>
        <v>0</v>
      </c>
      <c r="J62" s="5"/>
      <c r="K62" s="5">
        <f t="shared" si="0"/>
        <v>201330143.75</v>
      </c>
      <c r="L62" s="5"/>
      <c r="M62" s="4"/>
      <c r="N62" s="40"/>
      <c r="O62" s="40"/>
      <c r="P62" s="40"/>
      <c r="Q62" s="40"/>
      <c r="R62" s="40"/>
      <c r="S62" s="40"/>
      <c r="T62" s="40"/>
      <c r="U62" s="40"/>
    </row>
    <row r="63" spans="1:21" ht="13.8" x14ac:dyDescent="0.25">
      <c r="A63" s="8">
        <v>54224</v>
      </c>
      <c r="B63" s="8"/>
      <c r="C63" s="5">
        <f>'Series Detail'!R65-'Series Detail'!Y65</f>
        <v>112000000</v>
      </c>
      <c r="D63" s="5"/>
      <c r="E63" s="5">
        <f>'Series Detail'!S65-'Series Detail'!AA65</f>
        <v>22776625</v>
      </c>
      <c r="F63" s="5"/>
      <c r="G63" s="5">
        <f>'Series Detail'!T65-'Series Detail'!AB65</f>
        <v>0</v>
      </c>
      <c r="H63" s="5"/>
      <c r="I63" s="5">
        <f>'Series Detail'!U65-'Series Detail'!AC65</f>
        <v>0</v>
      </c>
      <c r="J63" s="5"/>
      <c r="K63" s="5">
        <f t="shared" si="0"/>
        <v>134776625</v>
      </c>
      <c r="L63" s="5"/>
      <c r="M63" s="5">
        <f>+K62+K63</f>
        <v>336106768.75</v>
      </c>
      <c r="N63" s="40"/>
      <c r="O63" s="40"/>
      <c r="P63" s="40"/>
      <c r="Q63" s="40"/>
      <c r="R63" s="40"/>
      <c r="S63" s="40"/>
      <c r="T63" s="40"/>
      <c r="U63" s="40"/>
    </row>
    <row r="64" spans="1:21" ht="13.8" x14ac:dyDescent="0.25">
      <c r="A64" s="8">
        <v>54407</v>
      </c>
      <c r="B64" s="8"/>
      <c r="C64" s="5">
        <f>'Series Detail'!R66-'Series Detail'!Y66</f>
        <v>180775000</v>
      </c>
      <c r="D64" s="5"/>
      <c r="E64" s="5">
        <f>'Series Detail'!S66-'Series Detail'!AA66</f>
        <v>20350775</v>
      </c>
      <c r="F64" s="5"/>
      <c r="G64" s="5">
        <f>'Series Detail'!T66-'Series Detail'!AB66</f>
        <v>0</v>
      </c>
      <c r="H64" s="5"/>
      <c r="I64" s="5">
        <f>'Series Detail'!U66-'Series Detail'!AC66</f>
        <v>0</v>
      </c>
      <c r="J64" s="5"/>
      <c r="K64" s="5">
        <f t="shared" si="0"/>
        <v>201125775</v>
      </c>
      <c r="L64" s="5"/>
      <c r="M64" s="4"/>
      <c r="N64" s="40"/>
      <c r="O64" s="40"/>
      <c r="P64" s="40"/>
      <c r="Q64" s="40"/>
      <c r="R64" s="40"/>
      <c r="S64" s="40"/>
      <c r="T64" s="40"/>
      <c r="U64" s="40"/>
    </row>
    <row r="65" spans="1:21" ht="13.8" x14ac:dyDescent="0.25">
      <c r="A65" s="8">
        <v>54589</v>
      </c>
      <c r="B65" s="8"/>
      <c r="C65" s="5">
        <f>'Series Detail'!R67-'Series Detail'!Y67</f>
        <v>113674595.3</v>
      </c>
      <c r="D65" s="5"/>
      <c r="E65" s="5">
        <f>'Series Detail'!S67-'Series Detail'!AA67</f>
        <v>16419100</v>
      </c>
      <c r="F65" s="5"/>
      <c r="G65" s="5">
        <f>'Series Detail'!T67-'Series Detail'!AB67</f>
        <v>4883964</v>
      </c>
      <c r="H65" s="5"/>
      <c r="I65" s="5">
        <f>'Series Detail'!U67-'Series Detail'!AC67</f>
        <v>0</v>
      </c>
      <c r="J65" s="5"/>
      <c r="K65" s="5">
        <f t="shared" si="0"/>
        <v>134977659.30000001</v>
      </c>
      <c r="L65" s="5"/>
      <c r="M65" s="5">
        <f>+K64+K65</f>
        <v>336103434.30000001</v>
      </c>
      <c r="N65" s="40"/>
      <c r="O65" s="40"/>
      <c r="P65" s="40"/>
      <c r="Q65" s="40"/>
      <c r="R65" s="40"/>
      <c r="S65" s="40"/>
      <c r="T65" s="40"/>
      <c r="U65" s="40"/>
    </row>
    <row r="66" spans="1:21" ht="13.8" x14ac:dyDescent="0.25">
      <c r="A66" s="8">
        <v>54772</v>
      </c>
      <c r="B66" s="8"/>
      <c r="C66" s="5">
        <f>'Series Detail'!R68-'Series Detail'!Y68</f>
        <v>143516263.55000001</v>
      </c>
      <c r="D66" s="5"/>
      <c r="E66" s="5">
        <f>'Series Detail'!S68-'Series Detail'!AA68</f>
        <v>13983475</v>
      </c>
      <c r="F66" s="5"/>
      <c r="G66" s="5">
        <f>'Series Detail'!T68-'Series Detail'!AB68</f>
        <v>43898910.299999997</v>
      </c>
      <c r="H66" s="5"/>
      <c r="I66" s="5">
        <f>'Series Detail'!U68-'Series Detail'!AC68</f>
        <v>0</v>
      </c>
      <c r="J66" s="5"/>
      <c r="K66" s="5">
        <f t="shared" si="0"/>
        <v>201398648.85000002</v>
      </c>
      <c r="L66" s="5"/>
      <c r="M66" s="4"/>
      <c r="N66" s="40"/>
      <c r="O66" s="40"/>
      <c r="P66" s="40"/>
      <c r="Q66" s="40"/>
      <c r="R66" s="40"/>
      <c r="S66" s="40"/>
      <c r="T66" s="40"/>
      <c r="U66" s="40"/>
    </row>
    <row r="67" spans="1:21" ht="13.8" x14ac:dyDescent="0.25">
      <c r="A67" s="8">
        <v>54954</v>
      </c>
      <c r="B67" s="8"/>
      <c r="C67" s="5">
        <f>'Series Detail'!R69-'Series Detail'!Y69</f>
        <v>123645000</v>
      </c>
      <c r="D67" s="5"/>
      <c r="E67" s="5">
        <f>'Series Detail'!S69-'Series Detail'!AA69</f>
        <v>11061650</v>
      </c>
      <c r="F67" s="5"/>
      <c r="G67" s="5">
        <f>'Series Detail'!T69-'Series Detail'!AB69</f>
        <v>0</v>
      </c>
      <c r="H67" s="5"/>
      <c r="I67" s="5">
        <f>'Series Detail'!U69-'Series Detail'!AC69</f>
        <v>0</v>
      </c>
      <c r="J67" s="5"/>
      <c r="K67" s="5">
        <f t="shared" si="0"/>
        <v>134706650</v>
      </c>
      <c r="L67" s="5"/>
      <c r="M67" s="5">
        <f>+K66+K67</f>
        <v>336105298.85000002</v>
      </c>
      <c r="N67" s="40"/>
      <c r="O67" s="40"/>
      <c r="P67" s="40"/>
      <c r="Q67" s="40"/>
      <c r="R67" s="40"/>
      <c r="S67" s="40"/>
      <c r="T67" s="40"/>
      <c r="U67" s="40"/>
    </row>
    <row r="68" spans="1:21" ht="13.8" x14ac:dyDescent="0.25">
      <c r="A68" s="8">
        <v>55137</v>
      </c>
      <c r="B68" s="8"/>
      <c r="C68" s="5">
        <f>'Series Detail'!R70-'Series Detail'!Y70</f>
        <v>25645714.299999997</v>
      </c>
      <c r="D68" s="5"/>
      <c r="E68" s="5">
        <f>'Series Detail'!S70-'Series Detail'!AA70</f>
        <v>8408750</v>
      </c>
      <c r="F68" s="5"/>
      <c r="G68" s="5">
        <f>'Series Detail'!T70-'Series Detail'!AB70</f>
        <v>170938578.30000001</v>
      </c>
      <c r="H68" s="5"/>
      <c r="I68" s="5">
        <f>'Series Detail'!U70-'Series Detail'!AC70</f>
        <v>0</v>
      </c>
      <c r="J68" s="5"/>
      <c r="K68" s="5">
        <f t="shared" si="0"/>
        <v>204993042.60000002</v>
      </c>
      <c r="L68" s="5"/>
      <c r="M68" s="4"/>
      <c r="N68" s="40"/>
      <c r="O68" s="40"/>
      <c r="P68" s="40"/>
      <c r="Q68" s="40"/>
      <c r="R68" s="40"/>
      <c r="S68" s="40"/>
      <c r="T68" s="40"/>
      <c r="U68" s="40"/>
    </row>
    <row r="69" spans="1:21" ht="13.8" x14ac:dyDescent="0.25">
      <c r="A69" s="8">
        <v>55319</v>
      </c>
      <c r="B69" s="8"/>
      <c r="C69" s="5">
        <f>'Series Detail'!R71-'Series Detail'!Y71</f>
        <v>15218139.350000001</v>
      </c>
      <c r="D69" s="5"/>
      <c r="E69" s="5">
        <f>'Series Detail'!S71-'Series Detail'!AA71</f>
        <v>8328875</v>
      </c>
      <c r="F69" s="5"/>
      <c r="G69" s="5">
        <f>'Series Detail'!T71-'Series Detail'!AB71</f>
        <v>111183089.55</v>
      </c>
      <c r="H69" s="5"/>
      <c r="I69" s="5">
        <f>'Series Detail'!U71-'Series Detail'!AC71</f>
        <v>0</v>
      </c>
      <c r="J69" s="5"/>
      <c r="K69" s="5">
        <f t="shared" si="0"/>
        <v>134730103.90000001</v>
      </c>
      <c r="L69" s="5"/>
      <c r="M69" s="5">
        <f>+K68+K69</f>
        <v>339723146.5</v>
      </c>
      <c r="N69" s="40"/>
      <c r="O69" s="40"/>
      <c r="P69" s="40"/>
      <c r="Q69" s="40"/>
      <c r="R69" s="40"/>
      <c r="S69" s="40"/>
      <c r="T69" s="40"/>
      <c r="U69" s="40"/>
    </row>
    <row r="70" spans="1:21" ht="13.8" x14ac:dyDescent="0.25">
      <c r="A70" s="8">
        <v>55502</v>
      </c>
      <c r="B70" s="8"/>
      <c r="C70" s="5">
        <f>'Series Detail'!R72-'Series Detail'!Y72</f>
        <v>21433118.25</v>
      </c>
      <c r="D70" s="5"/>
      <c r="E70" s="5">
        <f>'Series Detail'!S72-'Series Detail'!AA72</f>
        <v>8295125</v>
      </c>
      <c r="F70" s="5"/>
      <c r="G70" s="5">
        <f>'Series Detail'!T72-'Series Detail'!AB72</f>
        <v>150258121.25</v>
      </c>
      <c r="H70" s="5"/>
      <c r="I70" s="5">
        <f>'Series Detail'!U72-'Series Detail'!AC72</f>
        <v>0</v>
      </c>
      <c r="J70" s="5"/>
      <c r="K70" s="5">
        <f t="shared" si="0"/>
        <v>179986364.5</v>
      </c>
      <c r="L70" s="5"/>
      <c r="M70" s="4"/>
      <c r="N70" s="40"/>
      <c r="O70" s="40"/>
      <c r="P70" s="40"/>
      <c r="Q70" s="40"/>
      <c r="R70" s="40"/>
      <c r="S70" s="40"/>
      <c r="T70" s="40"/>
      <c r="U70" s="40"/>
    </row>
    <row r="71" spans="1:21" ht="13.8" x14ac:dyDescent="0.25">
      <c r="A71" s="8">
        <v>55685</v>
      </c>
      <c r="B71" s="8"/>
      <c r="C71" s="5">
        <f>'Series Detail'!R73-'Series Detail'!Y73</f>
        <v>1740000</v>
      </c>
      <c r="D71" s="5"/>
      <c r="E71" s="5">
        <f>'Series Detail'!S73-'Series Detail'!AA73</f>
        <v>8219250</v>
      </c>
      <c r="F71" s="5"/>
      <c r="G71" s="5">
        <f>'Series Detail'!T73-'Series Detail'!AB73</f>
        <v>0</v>
      </c>
      <c r="H71" s="5"/>
      <c r="I71" s="5">
        <f>'Series Detail'!U73-'Series Detail'!AC73</f>
        <v>0</v>
      </c>
      <c r="J71" s="5"/>
      <c r="K71" s="5">
        <f t="shared" si="0"/>
        <v>9959250</v>
      </c>
      <c r="L71" s="5"/>
      <c r="M71" s="5">
        <f>+K70+K71</f>
        <v>189945614.5</v>
      </c>
      <c r="N71" s="40"/>
      <c r="O71" s="40"/>
      <c r="P71" s="40"/>
      <c r="Q71" s="40"/>
      <c r="R71" s="40"/>
      <c r="S71" s="40"/>
      <c r="T71" s="40"/>
      <c r="U71" s="40"/>
    </row>
    <row r="72" spans="1:21" ht="13.8" x14ac:dyDescent="0.25">
      <c r="A72" s="8">
        <v>55868</v>
      </c>
      <c r="B72" s="8"/>
      <c r="C72" s="5">
        <f>'Series Detail'!R74-'Series Detail'!Y74</f>
        <v>24777137.699999999</v>
      </c>
      <c r="D72" s="5"/>
      <c r="E72" s="5">
        <f>'Series Detail'!S74-'Series Detail'!AA74</f>
        <v>8175750</v>
      </c>
      <c r="F72" s="5"/>
      <c r="G72" s="5">
        <f>'Series Detail'!T74-'Series Detail'!AB74</f>
        <v>176794160.5</v>
      </c>
      <c r="H72" s="5"/>
      <c r="I72" s="5">
        <f>'Series Detail'!U74-'Series Detail'!AC74</f>
        <v>0</v>
      </c>
      <c r="J72" s="5"/>
      <c r="K72" s="5">
        <f t="shared" si="0"/>
        <v>209747048.19999999</v>
      </c>
      <c r="L72" s="5"/>
      <c r="M72" s="4"/>
      <c r="N72" s="40"/>
      <c r="O72" s="40"/>
      <c r="P72" s="40"/>
      <c r="Q72" s="40"/>
      <c r="R72" s="40"/>
      <c r="S72" s="40"/>
      <c r="T72" s="40"/>
      <c r="U72" s="40"/>
    </row>
    <row r="73" spans="1:21" ht="13.8" x14ac:dyDescent="0.25">
      <c r="A73" s="8">
        <v>56050</v>
      </c>
      <c r="B73" s="8"/>
      <c r="C73" s="5">
        <f>'Series Detail'!R75-'Series Detail'!Y75</f>
        <v>129335000</v>
      </c>
      <c r="D73" s="5"/>
      <c r="E73" s="5">
        <f>'Series Detail'!S75-'Series Detail'!AA75</f>
        <v>8158500</v>
      </c>
      <c r="F73" s="5"/>
      <c r="G73" s="5">
        <f>'Series Detail'!T75-'Series Detail'!AB75</f>
        <v>0</v>
      </c>
      <c r="H73" s="5"/>
      <c r="I73" s="5">
        <f>'Series Detail'!U75-'Series Detail'!AC75</f>
        <v>0</v>
      </c>
      <c r="J73" s="5"/>
      <c r="K73" s="5">
        <f t="shared" si="0"/>
        <v>137493500</v>
      </c>
      <c r="L73" s="5"/>
      <c r="M73" s="5">
        <f>+K72+K73</f>
        <v>347240548.19999999</v>
      </c>
      <c r="N73" s="40"/>
      <c r="O73" s="40"/>
      <c r="P73" s="40"/>
      <c r="Q73" s="40"/>
      <c r="R73" s="40"/>
      <c r="S73" s="40"/>
      <c r="T73" s="40"/>
      <c r="U73" s="40"/>
    </row>
    <row r="74" spans="1:21" ht="13.8" x14ac:dyDescent="0.25">
      <c r="A74" s="8">
        <v>56233</v>
      </c>
      <c r="B74" s="8"/>
      <c r="C74" s="5">
        <f>'Series Detail'!R76-'Series Detail'!Y76</f>
        <v>32548480.649999999</v>
      </c>
      <c r="D74" s="5"/>
      <c r="E74" s="5">
        <f>'Series Detail'!S76-'Series Detail'!AA76</f>
        <v>4750125</v>
      </c>
      <c r="F74" s="5"/>
      <c r="G74" s="5">
        <f>'Series Detail'!T76-'Series Detail'!AB76</f>
        <v>177986684.5</v>
      </c>
      <c r="H74" s="5"/>
      <c r="I74" s="5">
        <f>'Series Detail'!U76-'Series Detail'!AC76</f>
        <v>0</v>
      </c>
      <c r="J74" s="5"/>
      <c r="K74" s="5">
        <f t="shared" si="0"/>
        <v>215285290.15000001</v>
      </c>
      <c r="L74" s="5"/>
      <c r="M74" s="4"/>
      <c r="N74" s="40"/>
      <c r="O74" s="40"/>
      <c r="P74" s="40"/>
      <c r="Q74" s="40"/>
      <c r="R74" s="40"/>
      <c r="S74" s="40"/>
      <c r="T74" s="40"/>
      <c r="U74" s="40"/>
    </row>
    <row r="75" spans="1:21" ht="13.8" x14ac:dyDescent="0.25">
      <c r="A75" s="8">
        <v>56415</v>
      </c>
      <c r="B75" s="8"/>
      <c r="C75" s="5">
        <f>'Series Detail'!R77-'Series Detail'!Y77</f>
        <v>36149432</v>
      </c>
      <c r="D75" s="5"/>
      <c r="E75" s="5">
        <f>'Series Detail'!S77-'Series Detail'!AA77</f>
        <v>4750125</v>
      </c>
      <c r="F75" s="5"/>
      <c r="G75" s="5">
        <f>'Series Detail'!T77-'Series Detail'!AB77</f>
        <v>91058660</v>
      </c>
      <c r="H75" s="5"/>
      <c r="I75" s="5">
        <f>'Series Detail'!U77-'Series Detail'!AC77</f>
        <v>0</v>
      </c>
      <c r="J75" s="5"/>
      <c r="K75" s="5">
        <f t="shared" ref="K75:K87" si="1">SUM(C75:J75)</f>
        <v>131958217</v>
      </c>
      <c r="L75" s="5"/>
      <c r="M75" s="5">
        <f>+K74+K75</f>
        <v>347243507.14999998</v>
      </c>
      <c r="N75" s="40"/>
      <c r="O75" s="40"/>
      <c r="P75" s="40"/>
      <c r="Q75" s="40"/>
      <c r="R75" s="40"/>
      <c r="S75" s="40"/>
      <c r="T75" s="40"/>
      <c r="U75" s="40"/>
    </row>
    <row r="76" spans="1:21" ht="13.8" x14ac:dyDescent="0.25">
      <c r="A76" s="8">
        <v>56598</v>
      </c>
      <c r="B76" s="8"/>
      <c r="C76" s="5">
        <f>'Series Detail'!R78-'Series Detail'!Y78</f>
        <v>30978571.5</v>
      </c>
      <c r="D76" s="5"/>
      <c r="E76" s="5">
        <f>'Series Detail'!S78-'Series Detail'!AA78</f>
        <v>4250125</v>
      </c>
      <c r="F76" s="5"/>
      <c r="G76" s="5">
        <f>'Series Detail'!T78-'Series Detail'!AB78</f>
        <v>180062062</v>
      </c>
      <c r="H76" s="5"/>
      <c r="I76" s="5">
        <f>'Series Detail'!U78-'Series Detail'!AC78</f>
        <v>0</v>
      </c>
      <c r="J76" s="5"/>
      <c r="K76" s="5">
        <f t="shared" si="1"/>
        <v>215290758.5</v>
      </c>
      <c r="L76" s="5"/>
      <c r="M76" s="4"/>
      <c r="N76" s="40"/>
      <c r="O76" s="40"/>
      <c r="P76" s="40"/>
      <c r="Q76" s="40"/>
      <c r="R76" s="40"/>
      <c r="S76" s="40"/>
      <c r="T76" s="40"/>
      <c r="U76" s="40"/>
    </row>
    <row r="77" spans="1:21" ht="13.8" x14ac:dyDescent="0.25">
      <c r="A77" s="8">
        <v>56780</v>
      </c>
      <c r="B77" s="8"/>
      <c r="C77" s="5">
        <f>'Series Detail'!R79-'Series Detail'!Y79</f>
        <v>35404535.299999997</v>
      </c>
      <c r="D77" s="5"/>
      <c r="E77" s="5">
        <f>'Series Detail'!S79-'Series Detail'!AA79</f>
        <v>4250125</v>
      </c>
      <c r="F77" s="5"/>
      <c r="G77" s="5">
        <f>'Series Detail'!T79-'Series Detail'!AB79</f>
        <v>92299160.799999997</v>
      </c>
      <c r="H77" s="5"/>
      <c r="I77" s="5">
        <f>'Series Detail'!U79-'Series Detail'!AC79</f>
        <v>0</v>
      </c>
      <c r="J77" s="5"/>
      <c r="K77" s="5">
        <f t="shared" si="1"/>
        <v>131953821.09999999</v>
      </c>
      <c r="L77" s="5"/>
      <c r="M77" s="5">
        <f>+K76+K77</f>
        <v>347244579.60000002</v>
      </c>
      <c r="N77" s="40"/>
      <c r="O77" s="40"/>
      <c r="P77" s="40"/>
      <c r="Q77" s="40"/>
      <c r="R77" s="40"/>
      <c r="S77" s="40"/>
      <c r="T77" s="40"/>
      <c r="U77" s="40"/>
    </row>
    <row r="78" spans="1:21" ht="13.8" x14ac:dyDescent="0.25">
      <c r="A78" s="8">
        <v>56963</v>
      </c>
      <c r="B78" s="8"/>
      <c r="C78" s="5">
        <f>'Series Detail'!R80-'Series Detail'!Y80</f>
        <v>42944037.049999997</v>
      </c>
      <c r="D78" s="5"/>
      <c r="E78" s="5">
        <f>'Series Detail'!S80-'Series Detail'!AA80</f>
        <v>3750125</v>
      </c>
      <c r="F78" s="5"/>
      <c r="G78" s="5">
        <f>'Series Detail'!T80-'Series Detail'!AB80</f>
        <v>141683286.59999999</v>
      </c>
      <c r="H78" s="5"/>
      <c r="I78" s="5">
        <f>'Series Detail'!U80-'Series Detail'!AC80</f>
        <v>0</v>
      </c>
      <c r="J78" s="5"/>
      <c r="K78" s="5">
        <f t="shared" si="1"/>
        <v>188377448.64999998</v>
      </c>
      <c r="L78" s="5"/>
      <c r="M78" s="4"/>
      <c r="N78" s="40"/>
      <c r="O78" s="40"/>
      <c r="P78" s="40"/>
      <c r="Q78" s="40"/>
      <c r="R78" s="40"/>
      <c r="S78" s="40"/>
      <c r="T78" s="40"/>
      <c r="U78" s="40"/>
    </row>
    <row r="79" spans="1:21" ht="13.8" x14ac:dyDescent="0.25">
      <c r="A79" s="8">
        <v>57146</v>
      </c>
      <c r="B79" s="8"/>
      <c r="C79" s="5">
        <f>'Series Detail'!R81-'Series Detail'!Y81</f>
        <v>26618429.75</v>
      </c>
      <c r="D79" s="5"/>
      <c r="E79" s="5">
        <f>'Series Detail'!S81-'Series Detail'!AA81</f>
        <v>3250125</v>
      </c>
      <c r="F79" s="5"/>
      <c r="G79" s="5">
        <f>'Series Detail'!T81-'Series Detail'!AB81</f>
        <v>128994700</v>
      </c>
      <c r="H79" s="5"/>
      <c r="I79" s="5">
        <f>'Series Detail'!U81-'Series Detail'!AC81</f>
        <v>0</v>
      </c>
      <c r="J79" s="5"/>
      <c r="K79" s="5">
        <f t="shared" si="1"/>
        <v>158863254.75</v>
      </c>
      <c r="L79" s="5"/>
      <c r="M79" s="5">
        <f>+K78+K79</f>
        <v>347240703.39999998</v>
      </c>
      <c r="N79" s="40"/>
      <c r="O79" s="40"/>
      <c r="P79" s="40"/>
      <c r="Q79" s="40"/>
      <c r="R79" s="40"/>
      <c r="S79" s="40"/>
      <c r="T79" s="40"/>
      <c r="U79" s="40"/>
    </row>
    <row r="80" spans="1:21" ht="13.8" x14ac:dyDescent="0.25">
      <c r="A80" s="8">
        <v>57329</v>
      </c>
      <c r="B80" s="8"/>
      <c r="C80" s="5">
        <f>'Series Detail'!R82-'Series Detail'!Y82</f>
        <v>36621670.25</v>
      </c>
      <c r="D80" s="5"/>
      <c r="E80" s="5">
        <f>'Series Detail'!S82-'Series Detail'!AA82</f>
        <v>3250125</v>
      </c>
      <c r="F80" s="5"/>
      <c r="G80" s="5">
        <f>'Series Detail'!T82-'Series Detail'!AB82</f>
        <v>175418329.75</v>
      </c>
      <c r="H80" s="5"/>
      <c r="I80" s="5">
        <f>'Series Detail'!U82-'Series Detail'!AC82</f>
        <v>0</v>
      </c>
      <c r="J80" s="5"/>
      <c r="K80" s="5">
        <f t="shared" si="1"/>
        <v>215290125</v>
      </c>
      <c r="L80" s="5"/>
      <c r="M80" s="4"/>
      <c r="N80" s="40"/>
      <c r="O80" s="40"/>
      <c r="P80" s="40"/>
      <c r="Q80" s="40"/>
      <c r="R80" s="40"/>
      <c r="S80" s="40"/>
      <c r="T80" s="40"/>
      <c r="U80" s="40"/>
    </row>
    <row r="81" spans="1:21" ht="13.8" x14ac:dyDescent="0.25">
      <c r="A81" s="8">
        <v>57511</v>
      </c>
      <c r="B81" s="8"/>
      <c r="C81" s="5">
        <f>'Series Detail'!R83-'Series Detail'!Y83</f>
        <v>128740000</v>
      </c>
      <c r="D81" s="5"/>
      <c r="E81" s="5">
        <f>'Series Detail'!S83-'Series Detail'!AA83</f>
        <v>3218500</v>
      </c>
      <c r="F81" s="5"/>
      <c r="G81" s="5">
        <f>'Series Detail'!T83-'Series Detail'!AB83</f>
        <v>0</v>
      </c>
      <c r="H81" s="5"/>
      <c r="I81" s="5">
        <f>'Series Detail'!U83-'Series Detail'!AC83</f>
        <v>0</v>
      </c>
      <c r="J81" s="5"/>
      <c r="K81" s="5">
        <f t="shared" si="1"/>
        <v>131958500</v>
      </c>
      <c r="L81" s="5"/>
      <c r="M81" s="5">
        <f>+K80+K81</f>
        <v>347248625</v>
      </c>
      <c r="N81" s="40"/>
      <c r="O81" s="40"/>
      <c r="P81" s="40"/>
      <c r="Q81" s="40"/>
      <c r="R81" s="40"/>
      <c r="S81" s="40"/>
      <c r="T81" s="40"/>
      <c r="U81" s="40"/>
    </row>
    <row r="82" spans="1:21" ht="13.8" x14ac:dyDescent="0.25">
      <c r="A82" s="8">
        <v>57694</v>
      </c>
      <c r="B82" s="8"/>
      <c r="C82" s="5">
        <f>'Series Detail'!R84-'Series Detail'!Y84</f>
        <v>0</v>
      </c>
      <c r="D82" s="5"/>
      <c r="E82" s="5">
        <f>'Series Detail'!S84-'Series Detail'!AA84</f>
        <v>0</v>
      </c>
      <c r="F82" s="5"/>
      <c r="G82" s="5">
        <f>'Series Detail'!T84-'Series Detail'!AB84</f>
        <v>0</v>
      </c>
      <c r="H82" s="5"/>
      <c r="I82" s="5">
        <f>'Series Detail'!U84-'Series Detail'!AC84</f>
        <v>0</v>
      </c>
      <c r="J82" s="5"/>
      <c r="K82" s="5">
        <f t="shared" si="1"/>
        <v>0</v>
      </c>
      <c r="L82" s="5"/>
      <c r="M82" s="4"/>
      <c r="N82" s="40"/>
      <c r="O82" s="40"/>
      <c r="P82" s="40"/>
      <c r="Q82" s="40"/>
      <c r="R82" s="40"/>
      <c r="S82" s="40"/>
      <c r="T82" s="40"/>
      <c r="U82" s="40"/>
    </row>
    <row r="83" spans="1:21" ht="13.8" x14ac:dyDescent="0.25">
      <c r="A83" s="8">
        <v>57876</v>
      </c>
      <c r="B83" s="8"/>
      <c r="C83" s="5">
        <f>'Series Detail'!R85-'Series Detail'!Y85</f>
        <v>0</v>
      </c>
      <c r="D83" s="5"/>
      <c r="E83" s="5">
        <f>'Series Detail'!S85-'Series Detail'!AA85</f>
        <v>0</v>
      </c>
      <c r="F83" s="5"/>
      <c r="G83" s="5">
        <f>'Series Detail'!T85-'Series Detail'!AB85</f>
        <v>0</v>
      </c>
      <c r="H83" s="5"/>
      <c r="I83" s="5">
        <f>'Series Detail'!U85-'Series Detail'!AC85</f>
        <v>0</v>
      </c>
      <c r="J83" s="5"/>
      <c r="K83" s="5">
        <f t="shared" si="1"/>
        <v>0</v>
      </c>
      <c r="L83" s="5"/>
      <c r="M83" s="5">
        <f>+K82+K83</f>
        <v>0</v>
      </c>
      <c r="N83" s="40"/>
      <c r="O83" s="40"/>
      <c r="P83" s="40"/>
      <c r="Q83" s="40"/>
      <c r="R83" s="40"/>
      <c r="S83" s="40"/>
      <c r="T83" s="40"/>
      <c r="U83" s="40"/>
    </row>
    <row r="84" spans="1:21" ht="13.8" x14ac:dyDescent="0.25">
      <c r="A84" s="8">
        <v>58059</v>
      </c>
      <c r="B84" s="8"/>
      <c r="C84" s="5">
        <f>'Series Detail'!R86-'Series Detail'!Y86</f>
        <v>0</v>
      </c>
      <c r="D84" s="5"/>
      <c r="E84" s="5">
        <f>'Series Detail'!S86-'Series Detail'!AA86</f>
        <v>0</v>
      </c>
      <c r="F84" s="5"/>
      <c r="G84" s="5">
        <f>'Series Detail'!T86-'Series Detail'!AB86</f>
        <v>0</v>
      </c>
      <c r="H84" s="5"/>
      <c r="I84" s="5">
        <f>'Series Detail'!U86-'Series Detail'!AC86</f>
        <v>0</v>
      </c>
      <c r="J84" s="5"/>
      <c r="K84" s="5">
        <f t="shared" si="1"/>
        <v>0</v>
      </c>
      <c r="L84" s="5"/>
      <c r="M84" s="4"/>
      <c r="N84" s="40"/>
      <c r="O84" s="40"/>
      <c r="P84" s="40"/>
      <c r="Q84" s="40"/>
      <c r="R84" s="40"/>
      <c r="S84" s="40"/>
      <c r="T84" s="40"/>
      <c r="U84" s="40"/>
    </row>
    <row r="85" spans="1:21" ht="13.8" x14ac:dyDescent="0.25">
      <c r="A85" s="8">
        <v>58241</v>
      </c>
      <c r="B85" s="8"/>
      <c r="C85" s="5">
        <f>'Series Detail'!R87-'Series Detail'!Y87</f>
        <v>0</v>
      </c>
      <c r="D85" s="5"/>
      <c r="E85" s="5">
        <f>'Series Detail'!S87-'Series Detail'!AA87</f>
        <v>0</v>
      </c>
      <c r="F85" s="5"/>
      <c r="G85" s="5">
        <f>'Series Detail'!T87-'Series Detail'!AB87</f>
        <v>0</v>
      </c>
      <c r="H85" s="5"/>
      <c r="I85" s="5">
        <f>'Series Detail'!U87-'Series Detail'!AC87</f>
        <v>0</v>
      </c>
      <c r="J85" s="5"/>
      <c r="K85" s="5">
        <f t="shared" si="1"/>
        <v>0</v>
      </c>
      <c r="L85" s="5"/>
      <c r="M85" s="5">
        <f>+K84+K85</f>
        <v>0</v>
      </c>
      <c r="N85" s="40"/>
      <c r="O85" s="40"/>
      <c r="P85" s="40"/>
      <c r="Q85" s="40"/>
      <c r="R85" s="40"/>
      <c r="S85" s="40"/>
      <c r="T85" s="40"/>
      <c r="U85" s="40"/>
    </row>
    <row r="86" spans="1:21" ht="13.8" x14ac:dyDescent="0.25">
      <c r="A86" s="8">
        <v>58424</v>
      </c>
      <c r="B86" s="8"/>
      <c r="C86" s="5">
        <f>'Series Detail'!R88-'Series Detail'!Y88</f>
        <v>0</v>
      </c>
      <c r="D86" s="5"/>
      <c r="E86" s="5">
        <f>'Series Detail'!S88-'Series Detail'!AA88</f>
        <v>0</v>
      </c>
      <c r="F86" s="5"/>
      <c r="G86" s="5">
        <f>'Series Detail'!T88-'Series Detail'!AB88</f>
        <v>0</v>
      </c>
      <c r="H86" s="5"/>
      <c r="I86" s="5">
        <f>'Series Detail'!U88-'Series Detail'!AC88</f>
        <v>0</v>
      </c>
      <c r="J86" s="5"/>
      <c r="K86" s="5">
        <f t="shared" si="1"/>
        <v>0</v>
      </c>
      <c r="L86" s="5"/>
      <c r="M86" s="4"/>
      <c r="N86" s="40"/>
      <c r="O86" s="40"/>
      <c r="P86" s="40"/>
      <c r="Q86" s="40"/>
      <c r="R86" s="40"/>
      <c r="S86" s="40"/>
      <c r="T86" s="40"/>
      <c r="U86" s="40"/>
    </row>
    <row r="87" spans="1:21" ht="13.8" x14ac:dyDescent="0.25">
      <c r="A87" s="8">
        <v>58607</v>
      </c>
      <c r="B87" s="8"/>
      <c r="C87" s="5">
        <f>'Series Detail'!R89-'Series Detail'!Y89</f>
        <v>0</v>
      </c>
      <c r="D87" s="5"/>
      <c r="E87" s="5">
        <f>'Series Detail'!S89-'Series Detail'!AA89</f>
        <v>0</v>
      </c>
      <c r="F87" s="5"/>
      <c r="G87" s="5">
        <f>'Series Detail'!T89-'Series Detail'!AB89</f>
        <v>0</v>
      </c>
      <c r="H87" s="5"/>
      <c r="I87" s="5">
        <f>'Series Detail'!U89-'Series Detail'!AC89</f>
        <v>0</v>
      </c>
      <c r="J87" s="5"/>
      <c r="K87" s="5">
        <f t="shared" si="1"/>
        <v>0</v>
      </c>
      <c r="L87" s="5"/>
      <c r="M87" s="5">
        <f>+K86+K87</f>
        <v>0</v>
      </c>
      <c r="N87" s="40"/>
      <c r="O87" s="40"/>
      <c r="P87" s="40"/>
      <c r="Q87" s="40"/>
      <c r="R87" s="40"/>
      <c r="S87" s="40"/>
      <c r="T87" s="40"/>
      <c r="U87" s="40"/>
    </row>
    <row r="88" spans="1:21" ht="13.8" x14ac:dyDescent="0.25">
      <c r="A88" s="8"/>
      <c r="B88" s="8"/>
      <c r="C88" s="13"/>
      <c r="D88" s="4"/>
      <c r="E88" s="13"/>
      <c r="F88" s="4"/>
      <c r="G88" s="13"/>
      <c r="H88" s="4"/>
      <c r="I88" s="13"/>
      <c r="J88" s="4"/>
      <c r="K88" s="13"/>
      <c r="L88" s="4"/>
      <c r="M88" s="13"/>
    </row>
    <row r="89" spans="1:21" ht="14.4" thickBot="1" x14ac:dyDescent="0.3">
      <c r="A89" s="8" t="s">
        <v>36</v>
      </c>
      <c r="B89" s="8"/>
      <c r="C89" s="49">
        <f>SUM(C10:C88)</f>
        <v>2280956209.5</v>
      </c>
      <c r="D89" s="5"/>
      <c r="E89" s="49">
        <f>SUM(E10:E88)</f>
        <v>1930722626.6900001</v>
      </c>
      <c r="F89" s="5"/>
      <c r="G89" s="49">
        <f>SUM(G10:G88)</f>
        <v>6463888479.6000023</v>
      </c>
      <c r="H89" s="5"/>
      <c r="I89" s="49">
        <f>SUM(I10:I88)</f>
        <v>0</v>
      </c>
      <c r="J89" s="5"/>
      <c r="K89" s="49">
        <f>SUM(K10:K88)</f>
        <v>10675567315.790001</v>
      </c>
      <c r="L89" s="5"/>
      <c r="M89" s="49">
        <f>SUM(M10:M88)</f>
        <v>10675567315.790001</v>
      </c>
    </row>
    <row r="90" spans="1:21" ht="14.4" thickTop="1" x14ac:dyDescent="0.25">
      <c r="A90" s="8"/>
      <c r="B90" s="8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21" ht="13.8" x14ac:dyDescent="0.25">
      <c r="A91" s="8"/>
      <c r="B91" s="8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21" ht="13.8" x14ac:dyDescent="0.25">
      <c r="A92" s="234">
        <f ca="1">'2022A'!A76</f>
        <v>44691.691628009263</v>
      </c>
      <c r="B92" s="235"/>
      <c r="C92" s="23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21" ht="13.8" x14ac:dyDescent="0.25">
      <c r="A93" s="8"/>
      <c r="B93" s="8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5" spans="1:21" x14ac:dyDescent="0.25">
      <c r="A95" s="38" t="s">
        <v>40</v>
      </c>
    </row>
    <row r="96" spans="1:21" x14ac:dyDescent="0.25">
      <c r="A96" s="38" t="s">
        <v>115</v>
      </c>
      <c r="C96" s="40">
        <f>'Series Detail'!Y91</f>
        <v>811248846.64999998</v>
      </c>
      <c r="E96" s="40">
        <f>'Series Detail'!AA91</f>
        <v>655713604.44000006</v>
      </c>
      <c r="G96" s="40">
        <f>'Series Detail'!AB91</f>
        <v>66331153.349999994</v>
      </c>
      <c r="I96" s="40">
        <f>'Series Detail'!AC91</f>
        <v>-18736955.609999999</v>
      </c>
      <c r="K96" s="40">
        <f>'Series Detail'!AD91</f>
        <v>1514556648.8299999</v>
      </c>
    </row>
    <row r="97" spans="1:13" x14ac:dyDescent="0.25">
      <c r="A97" s="38" t="s">
        <v>41</v>
      </c>
      <c r="C97" s="150">
        <f>'Total Debt'!C89</f>
        <v>3092205056.1500006</v>
      </c>
      <c r="E97" s="150">
        <f>'Total Debt'!E89</f>
        <v>2586436231.1300001</v>
      </c>
      <c r="G97" s="150">
        <f>'Total Debt'!G89</f>
        <v>6530219632.9500017</v>
      </c>
      <c r="I97" s="150">
        <f>'Total Debt'!I89</f>
        <v>-18736955.609999999</v>
      </c>
      <c r="K97" s="150">
        <f>'Total Debt'!K89</f>
        <v>12190123964.620001</v>
      </c>
      <c r="M97" s="40">
        <f>'Total Debt'!M89</f>
        <v>12190123964.619999</v>
      </c>
    </row>
    <row r="98" spans="1:13" x14ac:dyDescent="0.25">
      <c r="A98" s="38" t="s">
        <v>42</v>
      </c>
      <c r="C98" s="40">
        <f>C89+C96-C97</f>
        <v>0</v>
      </c>
      <c r="E98" s="40">
        <f>E89+E96-E97</f>
        <v>0</v>
      </c>
      <c r="G98" s="40">
        <f>G89+G96-G97</f>
        <v>0</v>
      </c>
      <c r="I98" s="40">
        <f>I89+I96-I97</f>
        <v>0</v>
      </c>
      <c r="K98" s="40">
        <f>K89+K96-K97</f>
        <v>0</v>
      </c>
    </row>
  </sheetData>
  <mergeCells count="1">
    <mergeCell ref="A92:C92"/>
  </mergeCells>
  <pageMargins left="0.75" right="0.75" top="0.75" bottom="0.75" header="0.3" footer="0.3"/>
  <pageSetup scale="69" fitToHeight="0" orientation="portrait" r:id="rId1"/>
  <rowBreaks count="1" manualBreakCount="1">
    <brk id="6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pageSetUpPr fitToPage="1"/>
  </sheetPr>
  <dimension ref="A1:GR141"/>
  <sheetViews>
    <sheetView topLeftCell="CU1" zoomScale="70" zoomScaleNormal="70" workbookViewId="0">
      <selection activeCell="DF5" sqref="DF5:DJ91"/>
    </sheetView>
  </sheetViews>
  <sheetFormatPr defaultColWidth="10.7109375" defaultRowHeight="13.2" x14ac:dyDescent="0.25"/>
  <cols>
    <col min="1" max="1" width="11.7109375" style="117" bestFit="1" customWidth="1"/>
    <col min="2" max="2" width="13.85546875" style="39" customWidth="1"/>
    <col min="3" max="3" width="20.5703125" style="39" bestFit="1" customWidth="1"/>
    <col min="4" max="4" width="12.85546875" style="39" bestFit="1" customWidth="1"/>
    <col min="5" max="5" width="6.5703125" style="39" customWidth="1"/>
    <col min="6" max="6" width="13" style="39" bestFit="1" customWidth="1"/>
    <col min="7" max="7" width="2.85546875" style="39" customWidth="1"/>
    <col min="8" max="8" width="13.85546875" style="39" customWidth="1"/>
    <col min="9" max="11" width="19.28515625" style="39" bestFit="1" customWidth="1"/>
    <col min="12" max="12" width="16.85546875" style="39" bestFit="1" customWidth="1"/>
    <col min="13" max="13" width="22.42578125" style="39" bestFit="1" customWidth="1"/>
    <col min="14" max="14" width="6.5703125" style="39" customWidth="1"/>
    <col min="15" max="15" width="13" style="39" bestFit="1" customWidth="1"/>
    <col min="16" max="16" width="2.85546875" style="39" customWidth="1"/>
    <col min="17" max="17" width="66.7109375" style="39" bestFit="1" customWidth="1"/>
    <col min="18" max="20" width="19.28515625" style="39" bestFit="1" customWidth="1"/>
    <col min="21" max="21" width="16.85546875" style="39" bestFit="1" customWidth="1"/>
    <col min="22" max="22" width="22.42578125" style="39" bestFit="1" customWidth="1"/>
    <col min="23" max="23" width="4.85546875" style="39" customWidth="1"/>
    <col min="24" max="24" width="66.7109375" style="39" bestFit="1" customWidth="1"/>
    <col min="25" max="25" width="17.28515625" style="39" bestFit="1" customWidth="1"/>
    <col min="26" max="26" width="9.7109375" style="39" bestFit="1" customWidth="1"/>
    <col min="27" max="27" width="17.28515625" style="39" bestFit="1" customWidth="1"/>
    <col min="28" max="28" width="16" style="39" bestFit="1" customWidth="1"/>
    <col min="29" max="29" width="18.28515625" style="39" bestFit="1" customWidth="1"/>
    <col min="30" max="30" width="19.28515625" style="39" bestFit="1" customWidth="1"/>
    <col min="31" max="31" width="4.85546875" style="39" customWidth="1"/>
    <col min="32" max="32" width="66.7109375" style="39" bestFit="1" customWidth="1"/>
    <col min="33" max="33" width="11.42578125" style="39" bestFit="1" customWidth="1"/>
    <col min="34" max="34" width="12.85546875" style="39" bestFit="1" customWidth="1"/>
    <col min="35" max="35" width="9.7109375" style="39" bestFit="1" customWidth="1"/>
    <col min="36" max="36" width="15.7109375" style="39" bestFit="1" customWidth="1"/>
    <col min="37" max="37" width="14.5703125" style="39" bestFit="1" customWidth="1"/>
    <col min="38" max="38" width="15.28515625" style="39" bestFit="1" customWidth="1"/>
    <col min="39" max="39" width="4.85546875" style="39" customWidth="1"/>
    <col min="40" max="40" width="66.7109375" style="39" bestFit="1" customWidth="1"/>
    <col min="41" max="41" width="16" style="39" bestFit="1" customWidth="1"/>
    <col min="42" max="42" width="9.7109375" style="39" bestFit="1" customWidth="1"/>
    <col min="43" max="43" width="16" style="39" bestFit="1" customWidth="1"/>
    <col min="44" max="44" width="15.7109375" style="39" bestFit="1" customWidth="1"/>
    <col min="45" max="45" width="14.5703125" style="39" bestFit="1" customWidth="1"/>
    <col min="46" max="46" width="17.28515625" style="39" bestFit="1" customWidth="1"/>
    <col min="47" max="47" width="4.85546875" style="39" customWidth="1"/>
    <col min="48" max="48" width="66.7109375" style="39" bestFit="1" customWidth="1"/>
    <col min="49" max="49" width="16" style="39" bestFit="1" customWidth="1"/>
    <col min="50" max="50" width="9.7109375" style="39" bestFit="1" customWidth="1"/>
    <col min="51" max="51" width="16" style="39" bestFit="1" customWidth="1"/>
    <col min="52" max="52" width="15.7109375" style="39" bestFit="1" customWidth="1"/>
    <col min="53" max="53" width="14.5703125" style="39" bestFit="1" customWidth="1"/>
    <col min="54" max="54" width="16" style="39" bestFit="1" customWidth="1"/>
    <col min="55" max="55" width="4.85546875" style="39" customWidth="1"/>
    <col min="56" max="56" width="66.7109375" style="39" bestFit="1" customWidth="1"/>
    <col min="57" max="57" width="16" style="39" bestFit="1" customWidth="1"/>
    <col min="58" max="58" width="9.7109375" style="39" bestFit="1" customWidth="1"/>
    <col min="59" max="59" width="16" style="39" bestFit="1" customWidth="1"/>
    <col min="60" max="60" width="15.7109375" style="39" bestFit="1" customWidth="1"/>
    <col min="61" max="61" width="14.5703125" style="39" bestFit="1" customWidth="1"/>
    <col min="62" max="62" width="16" style="39" bestFit="1" customWidth="1"/>
    <col min="63" max="63" width="4.85546875" style="39" customWidth="1"/>
    <col min="64" max="64" width="66.7109375" style="39" bestFit="1" customWidth="1"/>
    <col min="65" max="65" width="17.28515625" style="39" bestFit="1" customWidth="1"/>
    <col min="66" max="66" width="9.7109375" style="39" bestFit="1" customWidth="1"/>
    <col min="67" max="67" width="17.28515625" style="39" bestFit="1" customWidth="1"/>
    <col min="68" max="68" width="9.7109375" style="39" bestFit="1" customWidth="1"/>
    <col min="69" max="69" width="19.28515625" style="39" bestFit="1" customWidth="1"/>
    <col min="70" max="70" width="15.7109375" style="39" bestFit="1" customWidth="1"/>
    <col min="71" max="71" width="14.5703125" style="39" bestFit="1" customWidth="1"/>
    <col min="72" max="72" width="19.28515625" style="39" bestFit="1" customWidth="1"/>
    <col min="73" max="73" width="4.85546875" style="39" customWidth="1"/>
    <col min="74" max="74" width="66.7109375" style="39" bestFit="1" customWidth="1"/>
    <col min="75" max="75" width="11.42578125" style="39" bestFit="1" customWidth="1"/>
    <col min="76" max="77" width="9.7109375" style="39" bestFit="1" customWidth="1"/>
    <col min="78" max="78" width="15.7109375" style="39" bestFit="1" customWidth="1"/>
    <col min="79" max="79" width="14.5703125" style="39" bestFit="1" customWidth="1"/>
    <col min="80" max="80" width="15.28515625" style="39" bestFit="1" customWidth="1"/>
    <col min="81" max="81" width="4.85546875" style="39" customWidth="1"/>
    <col min="82" max="82" width="66.7109375" style="39" bestFit="1" customWidth="1"/>
    <col min="83" max="83" width="17.28515625" style="39" bestFit="1" customWidth="1"/>
    <col min="84" max="84" width="11.7109375" style="101" bestFit="1" customWidth="1"/>
    <col min="85" max="86" width="17.28515625" style="39" bestFit="1" customWidth="1"/>
    <col min="87" max="87" width="14.5703125" style="39" bestFit="1" customWidth="1"/>
    <col min="88" max="88" width="17.28515625" style="39" bestFit="1" customWidth="1"/>
    <col min="89" max="89" width="4.85546875" style="39" customWidth="1"/>
    <col min="90" max="90" width="66.7109375" style="39" bestFit="1" customWidth="1"/>
    <col min="91" max="91" width="17.28515625" style="39" bestFit="1" customWidth="1"/>
    <col min="92" max="92" width="9.7109375" style="39" bestFit="1" customWidth="1"/>
    <col min="93" max="93" width="16" style="39" bestFit="1" customWidth="1"/>
    <col min="94" max="94" width="17.28515625" style="39" bestFit="1" customWidth="1"/>
    <col min="95" max="95" width="19.28515625" style="39" bestFit="1" customWidth="1"/>
    <col min="96" max="96" width="4.85546875" style="39" customWidth="1"/>
    <col min="97" max="97" width="66.7109375" style="39" bestFit="1" customWidth="1"/>
    <col min="98" max="98" width="17.28515625" style="39" bestFit="1" customWidth="1"/>
    <col min="99" max="99" width="15.85546875" style="39" bestFit="1" customWidth="1"/>
    <col min="100" max="102" width="17.28515625" style="39" bestFit="1" customWidth="1"/>
    <col min="103" max="103" width="4.85546875" style="39" customWidth="1"/>
    <col min="104" max="104" width="66.7109375" style="39" bestFit="1" customWidth="1"/>
    <col min="105" max="105" width="16" style="39" bestFit="1" customWidth="1"/>
    <col min="106" max="106" width="9.7109375" style="39" bestFit="1" customWidth="1"/>
    <col min="107" max="107" width="16" style="39" bestFit="1" customWidth="1"/>
    <col min="108" max="108" width="17.28515625" style="39" bestFit="1" customWidth="1"/>
    <col min="109" max="109" width="4.85546875" style="39" customWidth="1"/>
    <col min="110" max="110" width="66.7109375" style="39" bestFit="1" customWidth="1"/>
    <col min="111" max="111" width="11.42578125" style="39" bestFit="1" customWidth="1"/>
    <col min="112" max="112" width="9.7109375" style="39" bestFit="1" customWidth="1"/>
    <col min="113" max="113" width="14.7109375" style="39" bestFit="1" customWidth="1"/>
    <col min="114" max="114" width="15.28515625" style="39" bestFit="1" customWidth="1"/>
    <col min="115" max="115" width="4.85546875" style="39" customWidth="1"/>
    <col min="116" max="116" width="66.7109375" style="39" bestFit="1" customWidth="1"/>
    <col min="117" max="117" width="17.28515625" style="39" bestFit="1" customWidth="1"/>
    <col min="118" max="118" width="15" style="39" bestFit="1" customWidth="1"/>
    <col min="119" max="120" width="17.28515625" style="39" bestFit="1" customWidth="1"/>
    <col min="121" max="121" width="19.28515625" style="39" bestFit="1" customWidth="1"/>
    <col min="122" max="122" width="4.85546875" style="39" customWidth="1"/>
    <col min="123" max="123" width="66.7109375" style="39" bestFit="1" customWidth="1"/>
    <col min="124" max="124" width="11.42578125" style="39" bestFit="1" customWidth="1"/>
    <col min="125" max="126" width="9.7109375" style="39" bestFit="1" customWidth="1"/>
    <col min="127" max="127" width="15.28515625" style="39" bestFit="1" customWidth="1"/>
    <col min="128" max="128" width="4.85546875" style="39" customWidth="1"/>
    <col min="129" max="129" width="66.7109375" style="39" bestFit="1" customWidth="1"/>
    <col min="130" max="130" width="17.28515625" style="39" bestFit="1" customWidth="1"/>
    <col min="131" max="132" width="9.7109375" style="39" bestFit="1" customWidth="1"/>
    <col min="133" max="134" width="19.28515625" style="39" bestFit="1" customWidth="1"/>
    <col min="135" max="135" width="4.85546875" style="39" customWidth="1"/>
    <col min="136" max="136" width="66.7109375" style="39" bestFit="1" customWidth="1"/>
    <col min="137" max="137" width="11.42578125" style="39" bestFit="1" customWidth="1"/>
    <col min="138" max="139" width="9.7109375" style="39" bestFit="1" customWidth="1"/>
    <col min="140" max="140" width="15.28515625" style="39" bestFit="1" customWidth="1"/>
    <col min="141" max="141" width="4.85546875" style="39" customWidth="1"/>
    <col min="142" max="142" width="66.7109375" style="39" bestFit="1" customWidth="1"/>
    <col min="143" max="143" width="16" style="39" bestFit="1" customWidth="1"/>
    <col min="144" max="144" width="9.7109375" style="39" bestFit="1" customWidth="1"/>
    <col min="145" max="145" width="16" style="39" bestFit="1" customWidth="1"/>
    <col min="146" max="147" width="19.28515625" style="39" bestFit="1" customWidth="1"/>
    <col min="148" max="148" width="4.85546875" style="39" customWidth="1"/>
    <col min="149" max="149" width="66.7109375" style="39" bestFit="1" customWidth="1"/>
    <col min="150" max="150" width="14.7109375" style="39" bestFit="1" customWidth="1"/>
    <col min="151" max="151" width="9.7109375" style="39" bestFit="1" customWidth="1"/>
    <col min="152" max="152" width="12.7109375" style="39" bestFit="1" customWidth="1"/>
    <col min="153" max="153" width="15.7109375" style="39" bestFit="1" customWidth="1"/>
    <col min="154" max="154" width="15.28515625" style="39" bestFit="1" customWidth="1"/>
    <col min="155" max="155" width="4.85546875" style="39" customWidth="1"/>
    <col min="156" max="156" width="66.7109375" style="39" bestFit="1" customWidth="1"/>
    <col min="157" max="157" width="11.42578125" style="39" bestFit="1" customWidth="1"/>
    <col min="158" max="159" width="9.7109375" style="39" bestFit="1" customWidth="1"/>
    <col min="160" max="160" width="15.28515625" style="39" bestFit="1" customWidth="1"/>
    <col min="161" max="161" width="4.85546875" style="39" customWidth="1"/>
    <col min="162" max="162" width="66.7109375" style="39" bestFit="1" customWidth="1"/>
    <col min="163" max="163" width="16" style="39" bestFit="1" customWidth="1"/>
    <col min="164" max="164" width="9.7109375" style="39" bestFit="1" customWidth="1"/>
    <col min="165" max="165" width="16" style="39" bestFit="1" customWidth="1"/>
    <col min="166" max="166" width="17.28515625" style="39" bestFit="1" customWidth="1"/>
    <col min="167" max="167" width="4.85546875" style="39" customWidth="1"/>
    <col min="168" max="168" width="66.7109375" style="39" bestFit="1" customWidth="1"/>
    <col min="169" max="169" width="14.7109375" style="39" bestFit="1" customWidth="1"/>
    <col min="170" max="170" width="9.7109375" style="39" bestFit="1" customWidth="1"/>
    <col min="171" max="171" width="12.7109375" style="39" bestFit="1" customWidth="1"/>
    <col min="172" max="172" width="15.28515625" style="39" bestFit="1" customWidth="1"/>
    <col min="173" max="173" width="4.85546875" style="39" customWidth="1"/>
    <col min="174" max="174" width="66.7109375" style="39" bestFit="1" customWidth="1"/>
    <col min="175" max="175" width="16" style="39" bestFit="1" customWidth="1"/>
    <col min="176" max="177" width="9.7109375" style="39" bestFit="1" customWidth="1"/>
    <col min="178" max="179" width="17.28515625" style="39" bestFit="1" customWidth="1"/>
    <col min="180" max="180" width="4.85546875" style="39" customWidth="1"/>
    <col min="181" max="181" width="66.7109375" style="39" bestFit="1" customWidth="1"/>
    <col min="182" max="182" width="16" style="39" bestFit="1" customWidth="1"/>
    <col min="183" max="184" width="9.7109375" style="39" bestFit="1" customWidth="1"/>
    <col min="185" max="186" width="17.28515625" style="39" bestFit="1" customWidth="1"/>
    <col min="187" max="187" width="4.85546875" style="39" customWidth="1"/>
    <col min="188" max="188" width="66.7109375" style="39" bestFit="1" customWidth="1"/>
    <col min="189" max="189" width="11.42578125" style="39" bestFit="1" customWidth="1"/>
    <col min="190" max="191" width="9.7109375" style="39" bestFit="1" customWidth="1"/>
    <col min="192" max="192" width="15.7109375" style="39" bestFit="1" customWidth="1"/>
    <col min="193" max="193" width="15.28515625" style="39" bestFit="1" customWidth="1"/>
    <col min="194" max="194" width="4.85546875" style="39" customWidth="1"/>
    <col min="195" max="195" width="66.7109375" style="39" bestFit="1" customWidth="1"/>
    <col min="196" max="196" width="11.42578125" style="39" bestFit="1" customWidth="1"/>
    <col min="197" max="198" width="9.7109375" style="39" bestFit="1" customWidth="1"/>
    <col min="199" max="199" width="15.7109375" style="39" bestFit="1" customWidth="1"/>
    <col min="200" max="200" width="15.28515625" style="39" bestFit="1" customWidth="1"/>
    <col min="201" max="16384" width="10.7109375" style="39"/>
  </cols>
  <sheetData>
    <row r="1" spans="1:200" ht="13.8" thickBot="1" x14ac:dyDescent="0.3"/>
    <row r="2" spans="1:200" x14ac:dyDescent="0.25">
      <c r="B2" s="64"/>
      <c r="C2" s="65">
        <f>M91</f>
        <v>12190123964.620001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AE2" s="64"/>
      <c r="AM2" s="64"/>
      <c r="AU2" s="64"/>
      <c r="BC2" s="64"/>
      <c r="BJ2" s="64"/>
      <c r="BK2" s="64"/>
      <c r="BL2" s="64"/>
      <c r="BM2" s="64"/>
      <c r="BU2" s="64"/>
      <c r="CC2" s="64"/>
      <c r="CJ2" s="64"/>
      <c r="CK2" s="64"/>
      <c r="CQ2" s="64"/>
      <c r="CR2" s="64"/>
      <c r="CS2" s="64"/>
      <c r="CU2" s="64"/>
      <c r="CV2" s="64"/>
      <c r="CW2" s="64"/>
      <c r="CX2" s="64"/>
      <c r="CY2" s="64"/>
      <c r="CZ2" s="64"/>
      <c r="DA2" s="64"/>
      <c r="DB2" s="64"/>
      <c r="DE2" s="64"/>
      <c r="DK2" s="64"/>
      <c r="DR2" s="64"/>
      <c r="DX2" s="64"/>
      <c r="EE2" s="64"/>
      <c r="EK2" s="64"/>
      <c r="ER2" s="64"/>
      <c r="EY2" s="64"/>
      <c r="FE2" s="64"/>
      <c r="FK2" s="64"/>
      <c r="FQ2" s="64"/>
      <c r="FX2" s="64"/>
      <c r="GE2" s="64"/>
      <c r="GL2" s="64"/>
    </row>
    <row r="3" spans="1:200" ht="13.8" thickBot="1" x14ac:dyDescent="0.3">
      <c r="C3" s="66">
        <f>C2-'Total Debt'!M89</f>
        <v>0</v>
      </c>
    </row>
    <row r="4" spans="1:200" x14ac:dyDescent="0.25">
      <c r="EC4" s="67"/>
      <c r="EJ4" s="67"/>
      <c r="EQ4" s="67"/>
      <c r="EW4" s="67"/>
      <c r="FC4" s="67"/>
      <c r="FI4" s="67"/>
    </row>
    <row r="5" spans="1:200" x14ac:dyDescent="0.25">
      <c r="B5" s="68" t="s">
        <v>43</v>
      </c>
      <c r="C5" s="69"/>
      <c r="D5" s="69"/>
      <c r="F5" s="70"/>
      <c r="G5" s="70"/>
      <c r="H5" s="68" t="s">
        <v>43</v>
      </c>
      <c r="I5" s="69"/>
      <c r="J5" s="69"/>
      <c r="K5" s="69"/>
      <c r="L5" s="69"/>
      <c r="M5" s="69"/>
      <c r="O5" s="70"/>
      <c r="P5" s="70"/>
      <c r="Q5" s="68" t="s">
        <v>43</v>
      </c>
      <c r="R5" s="69"/>
      <c r="S5" s="69"/>
      <c r="T5" s="69"/>
      <c r="U5" s="69"/>
      <c r="V5" s="69"/>
      <c r="X5" s="68" t="s">
        <v>43</v>
      </c>
      <c r="Y5" s="69"/>
      <c r="Z5" s="69"/>
      <c r="AA5" s="69"/>
      <c r="AB5" s="69"/>
      <c r="AC5" s="69"/>
      <c r="AD5" s="69"/>
      <c r="AF5" s="68" t="s">
        <v>43</v>
      </c>
      <c r="AG5" s="69"/>
      <c r="AH5" s="69"/>
      <c r="AI5" s="69"/>
      <c r="AJ5" s="69"/>
      <c r="AK5" s="69"/>
      <c r="AL5" s="69"/>
      <c r="AN5" s="68" t="s">
        <v>43</v>
      </c>
      <c r="AO5" s="69"/>
      <c r="AP5" s="69"/>
      <c r="AQ5" s="69"/>
      <c r="AR5" s="69"/>
      <c r="AS5" s="69"/>
      <c r="AT5" s="69"/>
      <c r="AV5" s="68" t="s">
        <v>43</v>
      </c>
      <c r="AW5" s="69"/>
      <c r="AX5" s="69"/>
      <c r="AY5" s="69"/>
      <c r="AZ5" s="69"/>
      <c r="BA5" s="69"/>
      <c r="BB5" s="69"/>
      <c r="BD5" s="68" t="s">
        <v>43</v>
      </c>
      <c r="BE5" s="69"/>
      <c r="BF5" s="69"/>
      <c r="BG5" s="69"/>
      <c r="BH5" s="69"/>
      <c r="BI5" s="69"/>
      <c r="BJ5" s="69"/>
      <c r="BL5" s="68" t="s">
        <v>43</v>
      </c>
      <c r="BM5" s="69"/>
      <c r="BN5" s="69"/>
      <c r="BO5" s="69"/>
      <c r="BP5" s="69"/>
      <c r="BQ5" s="69"/>
      <c r="BR5" s="69"/>
      <c r="BS5" s="69"/>
      <c r="BT5" s="69"/>
      <c r="BV5" s="68" t="s">
        <v>43</v>
      </c>
      <c r="BW5" s="69"/>
      <c r="BX5" s="69"/>
      <c r="BY5" s="69"/>
      <c r="BZ5" s="69"/>
      <c r="CA5" s="69"/>
      <c r="CB5" s="69"/>
      <c r="CD5" s="68" t="s">
        <v>43</v>
      </c>
      <c r="CE5" s="69"/>
      <c r="CF5" s="69"/>
      <c r="CG5" s="69"/>
      <c r="CH5" s="69"/>
      <c r="CI5" s="69"/>
      <c r="CJ5" s="69"/>
      <c r="CL5" s="68" t="s">
        <v>43</v>
      </c>
      <c r="CM5" s="69"/>
      <c r="CN5" s="127"/>
      <c r="CO5" s="69"/>
      <c r="CP5" s="69"/>
      <c r="CQ5" s="69"/>
      <c r="CS5" s="68" t="s">
        <v>43</v>
      </c>
      <c r="CT5" s="69"/>
      <c r="CU5" s="69"/>
      <c r="CV5" s="69"/>
      <c r="CW5" s="69"/>
      <c r="CX5" s="69"/>
      <c r="CZ5" s="68" t="s">
        <v>43</v>
      </c>
      <c r="DA5" s="69"/>
      <c r="DB5" s="69"/>
      <c r="DC5" s="69"/>
      <c r="DD5" s="69"/>
      <c r="DF5" s="68" t="s">
        <v>43</v>
      </c>
      <c r="DG5" s="69"/>
      <c r="DH5" s="69"/>
      <c r="DI5" s="69"/>
      <c r="DJ5" s="69"/>
      <c r="DL5" s="68" t="s">
        <v>43</v>
      </c>
      <c r="DM5" s="69"/>
      <c r="DN5" s="69"/>
      <c r="DO5" s="69"/>
      <c r="DP5" s="69"/>
      <c r="DQ5" s="69"/>
      <c r="DS5" s="68" t="s">
        <v>43</v>
      </c>
      <c r="DT5" s="69"/>
      <c r="DU5" s="69"/>
      <c r="DV5" s="69"/>
      <c r="DW5" s="69"/>
      <c r="DY5" s="68" t="s">
        <v>43</v>
      </c>
      <c r="DZ5" s="69"/>
      <c r="EA5" s="69"/>
      <c r="EB5" s="69"/>
      <c r="EC5" s="69"/>
      <c r="ED5" s="69"/>
      <c r="EF5" s="68" t="s">
        <v>43</v>
      </c>
      <c r="EG5" s="69"/>
      <c r="EH5" s="69"/>
      <c r="EI5" s="69"/>
      <c r="EJ5" s="69"/>
      <c r="EL5" s="68" t="s">
        <v>43</v>
      </c>
      <c r="EM5" s="69"/>
      <c r="EN5" s="69"/>
      <c r="EO5" s="69"/>
      <c r="EP5" s="69"/>
      <c r="EQ5" s="69"/>
      <c r="ES5" s="68" t="s">
        <v>43</v>
      </c>
      <c r="ET5" s="69"/>
      <c r="EU5" s="69"/>
      <c r="EV5" s="69"/>
      <c r="EW5" s="69"/>
      <c r="EX5" s="69"/>
      <c r="EZ5" s="68" t="s">
        <v>43</v>
      </c>
      <c r="FA5" s="69"/>
      <c r="FB5" s="69"/>
      <c r="FC5" s="69"/>
      <c r="FD5" s="69"/>
      <c r="FF5" s="68" t="s">
        <v>43</v>
      </c>
      <c r="FG5" s="69"/>
      <c r="FH5" s="69"/>
      <c r="FI5" s="69"/>
      <c r="FJ5" s="69"/>
      <c r="FL5" s="68" t="s">
        <v>43</v>
      </c>
      <c r="FM5" s="69"/>
      <c r="FN5" s="69"/>
      <c r="FO5" s="69"/>
      <c r="FP5" s="69"/>
      <c r="FR5" s="68" t="s">
        <v>43</v>
      </c>
      <c r="FS5" s="69"/>
      <c r="FT5" s="69"/>
      <c r="FU5" s="69"/>
      <c r="FV5" s="69"/>
      <c r="FW5" s="69"/>
      <c r="FY5" s="68" t="s">
        <v>43</v>
      </c>
      <c r="FZ5" s="69"/>
      <c r="GA5" s="69"/>
      <c r="GB5" s="69"/>
      <c r="GC5" s="69"/>
      <c r="GD5" s="69"/>
      <c r="GF5" s="68" t="s">
        <v>43</v>
      </c>
      <c r="GG5" s="69"/>
      <c r="GH5" s="69"/>
      <c r="GI5" s="69"/>
      <c r="GJ5" s="69"/>
      <c r="GK5" s="69"/>
      <c r="GM5" s="68" t="s">
        <v>43</v>
      </c>
      <c r="GN5" s="69"/>
      <c r="GO5" s="69"/>
      <c r="GP5" s="69"/>
      <c r="GQ5" s="69"/>
      <c r="GR5" s="69"/>
    </row>
    <row r="6" spans="1:200" x14ac:dyDescent="0.25">
      <c r="B6" s="71" t="s">
        <v>44</v>
      </c>
      <c r="F6" s="72"/>
      <c r="G6" s="72"/>
      <c r="H6" s="72" t="s">
        <v>44</v>
      </c>
      <c r="I6" s="72"/>
      <c r="J6" s="72"/>
      <c r="K6" s="72"/>
      <c r="L6" s="72"/>
      <c r="M6" s="72"/>
      <c r="O6" s="72"/>
      <c r="P6" s="72"/>
      <c r="Q6" s="72" t="s">
        <v>44</v>
      </c>
      <c r="R6" s="72"/>
      <c r="S6" s="72"/>
      <c r="T6" s="72"/>
      <c r="U6" s="72"/>
      <c r="V6" s="72"/>
      <c r="X6" s="71" t="s">
        <v>44</v>
      </c>
      <c r="Y6" s="72"/>
      <c r="Z6" s="72"/>
      <c r="AA6" s="72"/>
      <c r="AB6" s="72"/>
      <c r="AC6" s="72"/>
      <c r="AD6" s="72"/>
      <c r="AF6" s="71" t="s">
        <v>44</v>
      </c>
      <c r="AG6" s="72"/>
      <c r="AH6" s="72"/>
      <c r="AI6" s="72"/>
      <c r="AJ6" s="72"/>
      <c r="AK6" s="72"/>
      <c r="AL6" s="72"/>
      <c r="AN6" s="71" t="s">
        <v>44</v>
      </c>
      <c r="AO6" s="72"/>
      <c r="AP6" s="72"/>
      <c r="AQ6" s="72"/>
      <c r="AR6" s="72"/>
      <c r="AS6" s="72"/>
      <c r="AT6" s="72"/>
      <c r="AV6" s="71" t="s">
        <v>44</v>
      </c>
      <c r="AW6" s="72"/>
      <c r="AX6" s="72"/>
      <c r="AY6" s="72"/>
      <c r="AZ6" s="72"/>
      <c r="BA6" s="72"/>
      <c r="BB6" s="72"/>
      <c r="BD6" s="71" t="s">
        <v>44</v>
      </c>
      <c r="BE6" s="72"/>
      <c r="BF6" s="72"/>
      <c r="BG6" s="72"/>
      <c r="BH6" s="72"/>
      <c r="BI6" s="72"/>
      <c r="BJ6" s="72"/>
      <c r="BL6" s="71" t="s">
        <v>44</v>
      </c>
      <c r="BM6" s="72"/>
      <c r="BN6" s="72"/>
      <c r="BO6" s="72"/>
      <c r="BP6" s="72"/>
      <c r="BQ6" s="72"/>
      <c r="BR6" s="72"/>
      <c r="BS6" s="72"/>
      <c r="BT6" s="72"/>
      <c r="BV6" s="71" t="s">
        <v>44</v>
      </c>
      <c r="BW6" s="72"/>
      <c r="BX6" s="72"/>
      <c r="BY6" s="72"/>
      <c r="BZ6" s="72"/>
      <c r="CA6" s="72"/>
      <c r="CB6" s="72"/>
      <c r="CD6" s="71" t="s">
        <v>44</v>
      </c>
      <c r="CE6" s="72"/>
      <c r="CF6" s="72"/>
      <c r="CG6" s="72"/>
      <c r="CH6" s="72"/>
      <c r="CI6" s="72"/>
      <c r="CJ6" s="72"/>
      <c r="CL6" s="71" t="s">
        <v>44</v>
      </c>
      <c r="CM6" s="72"/>
      <c r="CN6" s="128"/>
      <c r="CO6" s="72"/>
      <c r="CP6" s="72"/>
      <c r="CQ6" s="72"/>
      <c r="CS6" s="71" t="s">
        <v>44</v>
      </c>
      <c r="CT6" s="72"/>
      <c r="CU6" s="72"/>
      <c r="CV6" s="72"/>
      <c r="CW6" s="72"/>
      <c r="CX6" s="72"/>
      <c r="CZ6" s="71" t="s">
        <v>44</v>
      </c>
      <c r="DA6" s="72"/>
      <c r="DB6" s="72"/>
      <c r="DC6" s="72"/>
      <c r="DD6" s="72"/>
      <c r="DF6" s="71" t="s">
        <v>44</v>
      </c>
      <c r="DG6" s="72"/>
      <c r="DH6" s="72"/>
      <c r="DI6" s="72"/>
      <c r="DJ6" s="72"/>
      <c r="DL6" s="71" t="s">
        <v>44</v>
      </c>
      <c r="DM6" s="72"/>
      <c r="DN6" s="72"/>
      <c r="DO6" s="72"/>
      <c r="DP6" s="72"/>
      <c r="DQ6" s="72"/>
      <c r="DS6" s="71" t="s">
        <v>44</v>
      </c>
      <c r="DT6" s="72"/>
      <c r="DU6" s="72"/>
      <c r="DV6" s="72"/>
      <c r="DW6" s="72"/>
      <c r="DY6" s="71" t="s">
        <v>44</v>
      </c>
      <c r="DZ6" s="72"/>
      <c r="EA6" s="72"/>
      <c r="EB6" s="72"/>
      <c r="EC6" s="72"/>
      <c r="ED6" s="72"/>
      <c r="EF6" s="71" t="s">
        <v>44</v>
      </c>
      <c r="EG6" s="72"/>
      <c r="EH6" s="72"/>
      <c r="EI6" s="72"/>
      <c r="EJ6" s="72"/>
      <c r="EL6" s="71" t="s">
        <v>44</v>
      </c>
      <c r="EM6" s="72"/>
      <c r="EN6" s="72"/>
      <c r="EO6" s="72"/>
      <c r="EP6" s="72"/>
      <c r="EQ6" s="72"/>
      <c r="ES6" s="71" t="s">
        <v>44</v>
      </c>
      <c r="ET6" s="72"/>
      <c r="EU6" s="72"/>
      <c r="EV6" s="72"/>
      <c r="EW6" s="72"/>
      <c r="EX6" s="72"/>
      <c r="EZ6" s="71" t="s">
        <v>44</v>
      </c>
      <c r="FA6" s="72"/>
      <c r="FB6" s="72"/>
      <c r="FC6" s="72"/>
      <c r="FD6" s="72"/>
      <c r="FF6" s="71" t="s">
        <v>44</v>
      </c>
      <c r="FG6" s="72"/>
      <c r="FH6" s="72"/>
      <c r="FI6" s="72"/>
      <c r="FJ6" s="72"/>
      <c r="FL6" s="71" t="s">
        <v>44</v>
      </c>
      <c r="FM6" s="72"/>
      <c r="FN6" s="72"/>
      <c r="FO6" s="72"/>
      <c r="FP6" s="72"/>
      <c r="FR6" s="71" t="s">
        <v>44</v>
      </c>
      <c r="FS6" s="72"/>
      <c r="FT6" s="72"/>
      <c r="FU6" s="72"/>
      <c r="FV6" s="72"/>
      <c r="FW6" s="72"/>
      <c r="FY6" s="71" t="s">
        <v>44</v>
      </c>
      <c r="FZ6" s="72"/>
      <c r="GA6" s="72"/>
      <c r="GB6" s="72"/>
      <c r="GC6" s="72"/>
      <c r="GD6" s="72"/>
      <c r="GF6" s="71" t="s">
        <v>44</v>
      </c>
      <c r="GG6" s="72"/>
      <c r="GH6" s="72"/>
      <c r="GI6" s="72"/>
      <c r="GJ6" s="72"/>
      <c r="GK6" s="72"/>
      <c r="GM6" s="71" t="s">
        <v>44</v>
      </c>
      <c r="GN6" s="72"/>
      <c r="GO6" s="72"/>
      <c r="GP6" s="72"/>
      <c r="GQ6" s="72"/>
      <c r="GR6" s="72"/>
    </row>
    <row r="7" spans="1:200" x14ac:dyDescent="0.25">
      <c r="B7" s="39" t="s">
        <v>45</v>
      </c>
      <c r="F7" s="72"/>
      <c r="G7" s="72"/>
      <c r="H7" s="72" t="s">
        <v>50</v>
      </c>
      <c r="I7" s="72"/>
      <c r="J7" s="72"/>
      <c r="K7" s="72"/>
      <c r="L7" s="72"/>
      <c r="M7" s="72"/>
      <c r="O7" s="72"/>
      <c r="P7" s="72"/>
      <c r="Q7" s="72" t="s">
        <v>54</v>
      </c>
      <c r="R7" s="72"/>
      <c r="S7" s="72"/>
      <c r="T7" s="72"/>
      <c r="U7" s="72"/>
      <c r="V7" s="72"/>
      <c r="X7" s="71" t="s">
        <v>135</v>
      </c>
      <c r="Y7" s="72"/>
      <c r="Z7" s="72"/>
      <c r="AA7" s="72"/>
      <c r="AB7" s="72"/>
      <c r="AC7" s="72"/>
      <c r="AD7" s="72"/>
      <c r="AF7" s="71" t="s">
        <v>109</v>
      </c>
      <c r="AG7" s="72"/>
      <c r="AH7" s="72"/>
      <c r="AI7" s="72"/>
      <c r="AJ7" s="72"/>
      <c r="AK7" s="72"/>
      <c r="AL7" s="72"/>
      <c r="AN7" s="71" t="s">
        <v>102</v>
      </c>
      <c r="AO7" s="72"/>
      <c r="AP7" s="72"/>
      <c r="AQ7" s="72"/>
      <c r="AR7" s="72"/>
      <c r="AS7" s="72"/>
      <c r="AT7" s="72"/>
      <c r="AV7" s="71" t="s">
        <v>103</v>
      </c>
      <c r="AW7" s="72"/>
      <c r="AX7" s="72"/>
      <c r="AY7" s="72"/>
      <c r="AZ7" s="72"/>
      <c r="BA7" s="72"/>
      <c r="BB7" s="72"/>
      <c r="BD7" s="71" t="s">
        <v>104</v>
      </c>
      <c r="BE7" s="72"/>
      <c r="BF7" s="72"/>
      <c r="BG7" s="72"/>
      <c r="BH7" s="72"/>
      <c r="BI7" s="72"/>
      <c r="BJ7" s="72"/>
      <c r="BL7" s="71" t="s">
        <v>96</v>
      </c>
      <c r="BM7" s="72"/>
      <c r="BN7" s="72"/>
      <c r="BO7" s="72"/>
      <c r="BP7" s="72"/>
      <c r="BQ7" s="72"/>
      <c r="BR7" s="72"/>
      <c r="BS7" s="72"/>
      <c r="BT7" s="72"/>
      <c r="BV7" s="71" t="s">
        <v>55</v>
      </c>
      <c r="BW7" s="72"/>
      <c r="BX7" s="72"/>
      <c r="BY7" s="72"/>
      <c r="BZ7" s="72"/>
      <c r="CA7" s="72"/>
      <c r="CB7" s="72"/>
      <c r="CD7" s="71" t="s">
        <v>53</v>
      </c>
      <c r="CE7" s="72"/>
      <c r="CF7" s="72"/>
      <c r="CG7" s="72"/>
      <c r="CH7" s="72"/>
      <c r="CI7" s="72"/>
      <c r="CJ7" s="72"/>
      <c r="CL7" s="71" t="s">
        <v>56</v>
      </c>
      <c r="CM7" s="72"/>
      <c r="CN7" s="128"/>
      <c r="CO7" s="72"/>
      <c r="CP7" s="72"/>
      <c r="CQ7" s="72"/>
      <c r="CS7" s="71" t="s">
        <v>57</v>
      </c>
      <c r="CT7" s="72"/>
      <c r="CU7" s="72"/>
      <c r="CV7" s="72"/>
      <c r="CW7" s="72"/>
      <c r="CX7" s="72"/>
      <c r="CZ7" s="71" t="s">
        <v>58</v>
      </c>
      <c r="DA7" s="72"/>
      <c r="DB7" s="72"/>
      <c r="DC7" s="72"/>
      <c r="DD7" s="72"/>
      <c r="DF7" s="71" t="s">
        <v>59</v>
      </c>
      <c r="DG7" s="72"/>
      <c r="DH7" s="72"/>
      <c r="DI7" s="72"/>
      <c r="DJ7" s="72"/>
      <c r="DL7" s="71" t="s">
        <v>60</v>
      </c>
      <c r="DM7" s="72"/>
      <c r="DN7" s="72"/>
      <c r="DO7" s="72"/>
      <c r="DP7" s="72"/>
      <c r="DQ7" s="72"/>
      <c r="DS7" s="71" t="s">
        <v>61</v>
      </c>
      <c r="DT7" s="72"/>
      <c r="DU7" s="72"/>
      <c r="DV7" s="72"/>
      <c r="DW7" s="72"/>
      <c r="DY7" s="71" t="s">
        <v>62</v>
      </c>
      <c r="DZ7" s="72"/>
      <c r="EA7" s="72"/>
      <c r="EB7" s="72"/>
      <c r="EC7" s="72"/>
      <c r="ED7" s="72"/>
      <c r="EF7" s="71" t="s">
        <v>63</v>
      </c>
      <c r="EG7" s="72"/>
      <c r="EH7" s="72"/>
      <c r="EI7" s="72"/>
      <c r="EJ7" s="72"/>
      <c r="EL7" s="71" t="s">
        <v>64</v>
      </c>
      <c r="EM7" s="73"/>
      <c r="EN7" s="72"/>
      <c r="EO7" s="73"/>
      <c r="EP7" s="73"/>
      <c r="EQ7" s="73"/>
      <c r="ES7" s="71" t="s">
        <v>65</v>
      </c>
      <c r="ET7" s="73"/>
      <c r="EU7" s="72"/>
      <c r="EV7" s="73"/>
      <c r="EW7" s="73"/>
      <c r="EX7" s="73"/>
      <c r="EZ7" s="71" t="s">
        <v>66</v>
      </c>
      <c r="FA7" s="72"/>
      <c r="FB7" s="72"/>
      <c r="FC7" s="72"/>
      <c r="FD7" s="72"/>
      <c r="FF7" s="71" t="s">
        <v>67</v>
      </c>
      <c r="FG7" s="72"/>
      <c r="FH7" s="72"/>
      <c r="FI7" s="72"/>
      <c r="FJ7" s="72"/>
      <c r="FL7" s="71" t="s">
        <v>68</v>
      </c>
      <c r="FM7" s="72"/>
      <c r="FN7" s="72"/>
      <c r="FO7" s="72"/>
      <c r="FP7" s="72"/>
      <c r="FR7" s="71" t="s">
        <v>69</v>
      </c>
      <c r="FS7" s="72"/>
      <c r="FT7" s="72"/>
      <c r="FU7" s="72"/>
      <c r="FV7" s="72"/>
      <c r="FW7" s="72"/>
      <c r="FY7" s="71" t="s">
        <v>70</v>
      </c>
      <c r="FZ7" s="72"/>
      <c r="GA7" s="72"/>
      <c r="GB7" s="72"/>
      <c r="GC7" s="72"/>
      <c r="GD7" s="72"/>
      <c r="GF7" s="71" t="s">
        <v>71</v>
      </c>
      <c r="GG7" s="72"/>
      <c r="GH7" s="72"/>
      <c r="GI7" s="72"/>
      <c r="GJ7" s="72"/>
      <c r="GK7" s="72"/>
      <c r="GM7" s="71" t="s">
        <v>72</v>
      </c>
      <c r="GN7" s="72"/>
      <c r="GO7" s="72"/>
      <c r="GP7" s="72"/>
      <c r="GQ7" s="72"/>
      <c r="GR7" s="72"/>
    </row>
    <row r="8" spans="1:200" x14ac:dyDescent="0.25">
      <c r="F8" s="72"/>
      <c r="G8" s="72"/>
      <c r="H8" s="72"/>
      <c r="I8" s="72"/>
      <c r="J8" s="72"/>
      <c r="K8" s="72"/>
      <c r="L8" s="72"/>
      <c r="M8" s="72"/>
      <c r="O8" s="72"/>
      <c r="P8" s="72"/>
      <c r="Q8" s="72"/>
      <c r="R8" s="72"/>
      <c r="S8" s="72"/>
      <c r="T8" s="72"/>
      <c r="U8" s="72"/>
      <c r="V8" s="72"/>
      <c r="X8" s="144">
        <v>44637</v>
      </c>
      <c r="Y8" s="75"/>
      <c r="Z8" s="75"/>
      <c r="AA8" s="75"/>
      <c r="AB8" s="75"/>
      <c r="AC8" s="75"/>
      <c r="AD8" s="75"/>
      <c r="AF8" s="144">
        <v>44391</v>
      </c>
      <c r="AG8" s="75"/>
      <c r="AH8" s="75"/>
      <c r="AI8" s="75"/>
      <c r="AJ8" s="75"/>
      <c r="AK8" s="75"/>
      <c r="AL8" s="75"/>
      <c r="AN8" s="144">
        <v>44091</v>
      </c>
      <c r="AO8" s="75"/>
      <c r="AP8" s="75"/>
      <c r="AQ8" s="75"/>
      <c r="AR8" s="75"/>
      <c r="AS8" s="75"/>
      <c r="AT8" s="75"/>
      <c r="AV8" s="74"/>
      <c r="AW8" s="75"/>
      <c r="AX8" s="75"/>
      <c r="AY8" s="75"/>
      <c r="AZ8" s="75"/>
      <c r="BA8" s="75"/>
      <c r="BB8" s="75"/>
      <c r="BD8" s="74"/>
      <c r="BE8" s="75"/>
      <c r="BF8" s="75"/>
      <c r="BG8" s="75"/>
      <c r="BH8" s="75"/>
      <c r="BI8" s="75"/>
      <c r="BJ8" s="75"/>
      <c r="BL8" s="74"/>
      <c r="BM8" s="75"/>
      <c r="BN8" s="75"/>
      <c r="BO8" s="75"/>
      <c r="BP8" s="75"/>
      <c r="BQ8" s="75"/>
      <c r="BR8" s="75"/>
      <c r="BS8" s="75"/>
      <c r="BT8" s="75"/>
      <c r="BV8" s="74"/>
      <c r="BW8" s="75"/>
      <c r="BX8" s="75"/>
      <c r="BY8" s="75"/>
      <c r="BZ8" s="75"/>
      <c r="CA8" s="75"/>
      <c r="CB8" s="75"/>
      <c r="CD8" s="74"/>
      <c r="CE8" s="75"/>
      <c r="CF8" s="75"/>
      <c r="CG8" s="75"/>
      <c r="CH8" s="75"/>
      <c r="CI8" s="75"/>
      <c r="CJ8" s="75"/>
      <c r="CL8" s="74"/>
      <c r="CM8" s="75"/>
      <c r="CN8" s="129"/>
      <c r="CO8" s="75"/>
      <c r="CP8" s="75"/>
      <c r="CQ8" s="75"/>
      <c r="CS8" s="74"/>
      <c r="CT8" s="75"/>
      <c r="CU8" s="75"/>
      <c r="CV8" s="75"/>
      <c r="CW8" s="75"/>
      <c r="CX8" s="75"/>
      <c r="CZ8" s="74"/>
      <c r="DA8" s="75"/>
      <c r="DB8" s="75"/>
      <c r="DC8" s="75"/>
      <c r="DD8" s="75"/>
      <c r="DF8" s="74"/>
      <c r="DG8" s="75"/>
      <c r="DH8" s="75"/>
      <c r="DI8" s="75"/>
      <c r="DJ8" s="75"/>
      <c r="DL8" s="74"/>
      <c r="DM8" s="75"/>
      <c r="DN8" s="75"/>
      <c r="DO8" s="75"/>
      <c r="DP8" s="75"/>
      <c r="DQ8" s="75"/>
      <c r="DS8" s="74"/>
      <c r="DT8" s="75"/>
      <c r="DU8" s="75"/>
      <c r="DV8" s="75"/>
      <c r="DW8" s="75"/>
      <c r="DY8" s="75"/>
      <c r="DZ8" s="75"/>
      <c r="EA8" s="75"/>
      <c r="EB8" s="75"/>
      <c r="EC8" s="75"/>
      <c r="ED8" s="75"/>
      <c r="EF8" s="75"/>
      <c r="EG8" s="75"/>
      <c r="EH8" s="75"/>
      <c r="EI8" s="75"/>
      <c r="EJ8" s="75"/>
      <c r="EL8" s="74"/>
      <c r="EM8" s="75"/>
      <c r="EN8" s="75"/>
      <c r="EO8" s="75"/>
      <c r="EP8" s="75"/>
      <c r="EQ8" s="75"/>
      <c r="ES8" s="74"/>
      <c r="ET8" s="75"/>
      <c r="EU8" s="75"/>
      <c r="EV8" s="75"/>
      <c r="EW8" s="75"/>
      <c r="EX8" s="75"/>
      <c r="EZ8" s="74"/>
      <c r="FA8" s="75"/>
      <c r="FB8" s="75"/>
      <c r="FC8" s="75"/>
      <c r="FD8" s="75"/>
      <c r="FF8" s="74"/>
      <c r="FG8" s="75"/>
      <c r="FH8" s="75"/>
      <c r="FI8" s="75"/>
      <c r="FJ8" s="75"/>
      <c r="FL8" s="74"/>
      <c r="FM8" s="75"/>
      <c r="FN8" s="75"/>
      <c r="FO8" s="75"/>
      <c r="FP8" s="75"/>
      <c r="FR8" s="74"/>
      <c r="FS8" s="75"/>
      <c r="FT8" s="75"/>
      <c r="FU8" s="75"/>
      <c r="FV8" s="75"/>
      <c r="FW8" s="75"/>
      <c r="FY8" s="74"/>
      <c r="FZ8" s="75"/>
      <c r="GA8" s="75"/>
      <c r="GB8" s="75"/>
      <c r="GC8" s="75"/>
      <c r="GD8" s="75"/>
      <c r="GF8" s="74"/>
      <c r="GG8" s="75"/>
      <c r="GH8" s="75"/>
      <c r="GI8" s="75"/>
      <c r="GJ8" s="75"/>
      <c r="GK8" s="75"/>
      <c r="GM8" s="74"/>
      <c r="GN8" s="75"/>
      <c r="GO8" s="75"/>
      <c r="GP8" s="75"/>
      <c r="GQ8" s="75"/>
      <c r="GR8" s="75"/>
    </row>
    <row r="9" spans="1:200" x14ac:dyDescent="0.25">
      <c r="B9" s="71" t="s">
        <v>46</v>
      </c>
      <c r="C9" s="76" t="s">
        <v>47</v>
      </c>
      <c r="D9" s="76"/>
      <c r="F9" s="72" t="s">
        <v>46</v>
      </c>
      <c r="G9" s="72"/>
      <c r="H9" s="72" t="s">
        <v>51</v>
      </c>
      <c r="I9" s="76"/>
      <c r="J9" s="76"/>
      <c r="K9" s="76" t="s">
        <v>31</v>
      </c>
      <c r="L9" s="76" t="s">
        <v>52</v>
      </c>
      <c r="M9" s="76" t="s">
        <v>47</v>
      </c>
      <c r="O9" s="71"/>
      <c r="Q9" s="71" t="s">
        <v>46</v>
      </c>
      <c r="T9" s="76" t="s">
        <v>31</v>
      </c>
      <c r="U9" s="76" t="s">
        <v>52</v>
      </c>
      <c r="X9" s="71" t="s">
        <v>46</v>
      </c>
      <c r="AB9" s="76" t="s">
        <v>31</v>
      </c>
      <c r="AC9" s="76" t="s">
        <v>52</v>
      </c>
      <c r="AF9" s="71" t="s">
        <v>46</v>
      </c>
      <c r="AJ9" s="76" t="s">
        <v>31</v>
      </c>
      <c r="AK9" s="76" t="s">
        <v>52</v>
      </c>
      <c r="AN9" s="71" t="s">
        <v>46</v>
      </c>
      <c r="AR9" s="76" t="s">
        <v>31</v>
      </c>
      <c r="AS9" s="76" t="s">
        <v>52</v>
      </c>
      <c r="AV9" s="71" t="s">
        <v>46</v>
      </c>
      <c r="AZ9" s="76" t="s">
        <v>31</v>
      </c>
      <c r="BA9" s="76" t="s">
        <v>52</v>
      </c>
      <c r="BD9" s="71" t="s">
        <v>46</v>
      </c>
      <c r="BH9" s="76" t="s">
        <v>31</v>
      </c>
      <c r="BI9" s="76" t="s">
        <v>52</v>
      </c>
      <c r="BL9" s="71" t="s">
        <v>46</v>
      </c>
      <c r="BR9" s="76" t="s">
        <v>31</v>
      </c>
      <c r="BS9" s="76" t="s">
        <v>52</v>
      </c>
      <c r="BV9" s="71" t="s">
        <v>46</v>
      </c>
      <c r="BZ9" s="76" t="s">
        <v>31</v>
      </c>
      <c r="CA9" s="76" t="s">
        <v>52</v>
      </c>
      <c r="CD9" s="71" t="s">
        <v>46</v>
      </c>
      <c r="CF9" s="39"/>
      <c r="CH9" s="76" t="s">
        <v>31</v>
      </c>
      <c r="CI9" s="76" t="s">
        <v>52</v>
      </c>
      <c r="CL9" s="71" t="s">
        <v>46</v>
      </c>
      <c r="CN9" s="101"/>
      <c r="CP9" s="76" t="s">
        <v>31</v>
      </c>
      <c r="CS9" s="71" t="s">
        <v>46</v>
      </c>
      <c r="CW9" s="76" t="s">
        <v>31</v>
      </c>
      <c r="CZ9" s="71" t="s">
        <v>46</v>
      </c>
      <c r="DF9" s="71" t="s">
        <v>46</v>
      </c>
      <c r="DL9" s="71" t="s">
        <v>46</v>
      </c>
      <c r="DP9" s="76" t="s">
        <v>31</v>
      </c>
      <c r="DS9" s="71" t="s">
        <v>46</v>
      </c>
      <c r="DT9" s="77"/>
      <c r="DU9" s="77"/>
      <c r="DV9" s="77"/>
      <c r="DW9" s="77"/>
      <c r="DY9" s="71" t="s">
        <v>46</v>
      </c>
      <c r="EC9" s="76" t="s">
        <v>31</v>
      </c>
      <c r="EF9" s="71" t="s">
        <v>46</v>
      </c>
      <c r="EJ9" s="76"/>
      <c r="EL9" s="71" t="s">
        <v>46</v>
      </c>
      <c r="EM9" s="40"/>
      <c r="EN9" s="40"/>
      <c r="EO9" s="40"/>
      <c r="EP9" s="78" t="s">
        <v>31</v>
      </c>
      <c r="EQ9" s="40"/>
      <c r="ES9" s="71" t="s">
        <v>46</v>
      </c>
      <c r="ET9" s="40"/>
      <c r="EU9" s="40"/>
      <c r="EV9" s="40"/>
      <c r="EW9" s="76" t="s">
        <v>31</v>
      </c>
      <c r="EX9" s="40"/>
      <c r="EZ9" s="71" t="s">
        <v>46</v>
      </c>
      <c r="FF9" s="71" t="s">
        <v>46</v>
      </c>
      <c r="FL9" s="71" t="s">
        <v>46</v>
      </c>
      <c r="FR9" s="71" t="s">
        <v>46</v>
      </c>
      <c r="FV9" s="76" t="s">
        <v>31</v>
      </c>
      <c r="FY9" s="71" t="s">
        <v>46</v>
      </c>
      <c r="GC9" s="76" t="s">
        <v>31</v>
      </c>
      <c r="GF9" s="71" t="s">
        <v>46</v>
      </c>
      <c r="GJ9" s="76" t="s">
        <v>31</v>
      </c>
      <c r="GM9" s="71" t="s">
        <v>46</v>
      </c>
      <c r="GQ9" s="76" t="s">
        <v>31</v>
      </c>
    </row>
    <row r="10" spans="1:200" ht="13.8" thickBot="1" x14ac:dyDescent="0.3">
      <c r="B10" s="79" t="s">
        <v>48</v>
      </c>
      <c r="C10" s="80" t="s">
        <v>49</v>
      </c>
      <c r="D10" s="80" t="s">
        <v>42</v>
      </c>
      <c r="F10" s="81" t="s">
        <v>48</v>
      </c>
      <c r="G10" s="81"/>
      <c r="H10" s="81" t="s">
        <v>23</v>
      </c>
      <c r="I10" s="80" t="s">
        <v>21</v>
      </c>
      <c r="J10" s="80" t="s">
        <v>32</v>
      </c>
      <c r="K10" s="80" t="s">
        <v>32</v>
      </c>
      <c r="L10" s="80" t="s">
        <v>32</v>
      </c>
      <c r="M10" s="80" t="s">
        <v>49</v>
      </c>
      <c r="O10" s="79"/>
      <c r="P10" s="80"/>
      <c r="Q10" s="79" t="s">
        <v>48</v>
      </c>
      <c r="R10" s="80" t="s">
        <v>21</v>
      </c>
      <c r="S10" s="80" t="s">
        <v>32</v>
      </c>
      <c r="T10" s="80" t="s">
        <v>32</v>
      </c>
      <c r="U10" s="80" t="s">
        <v>32</v>
      </c>
      <c r="V10" s="80" t="s">
        <v>34</v>
      </c>
      <c r="X10" s="79" t="s">
        <v>48</v>
      </c>
      <c r="Y10" s="80" t="s">
        <v>21</v>
      </c>
      <c r="Z10" s="80" t="s">
        <v>25</v>
      </c>
      <c r="AA10" s="80" t="s">
        <v>32</v>
      </c>
      <c r="AB10" s="80" t="s">
        <v>32</v>
      </c>
      <c r="AC10" s="80" t="s">
        <v>32</v>
      </c>
      <c r="AD10" s="80" t="s">
        <v>34</v>
      </c>
      <c r="AF10" s="79" t="s">
        <v>48</v>
      </c>
      <c r="AG10" s="80" t="s">
        <v>21</v>
      </c>
      <c r="AH10" s="80" t="s">
        <v>25</v>
      </c>
      <c r="AI10" s="80" t="s">
        <v>32</v>
      </c>
      <c r="AJ10" s="80" t="s">
        <v>32</v>
      </c>
      <c r="AK10" s="80" t="s">
        <v>32</v>
      </c>
      <c r="AL10" s="80" t="s">
        <v>34</v>
      </c>
      <c r="AN10" s="79" t="s">
        <v>48</v>
      </c>
      <c r="AO10" s="80" t="s">
        <v>21</v>
      </c>
      <c r="AP10" s="80" t="s">
        <v>25</v>
      </c>
      <c r="AQ10" s="80" t="s">
        <v>32</v>
      </c>
      <c r="AR10" s="80" t="s">
        <v>32</v>
      </c>
      <c r="AS10" s="80" t="s">
        <v>32</v>
      </c>
      <c r="AT10" s="80" t="s">
        <v>34</v>
      </c>
      <c r="AV10" s="79" t="s">
        <v>48</v>
      </c>
      <c r="AW10" s="80" t="s">
        <v>21</v>
      </c>
      <c r="AX10" s="80" t="s">
        <v>25</v>
      </c>
      <c r="AY10" s="80" t="s">
        <v>32</v>
      </c>
      <c r="AZ10" s="80" t="s">
        <v>32</v>
      </c>
      <c r="BA10" s="80" t="s">
        <v>32</v>
      </c>
      <c r="BB10" s="80" t="s">
        <v>34</v>
      </c>
      <c r="BD10" s="79" t="s">
        <v>48</v>
      </c>
      <c r="BE10" s="80" t="s">
        <v>21</v>
      </c>
      <c r="BF10" s="80" t="s">
        <v>25</v>
      </c>
      <c r="BG10" s="80" t="s">
        <v>32</v>
      </c>
      <c r="BH10" s="80" t="s">
        <v>32</v>
      </c>
      <c r="BI10" s="80" t="s">
        <v>32</v>
      </c>
      <c r="BJ10" s="80" t="s">
        <v>34</v>
      </c>
      <c r="BL10" s="79" t="s">
        <v>48</v>
      </c>
      <c r="BM10" s="80" t="s">
        <v>21</v>
      </c>
      <c r="BN10" s="80" t="s">
        <v>25</v>
      </c>
      <c r="BO10" s="80" t="s">
        <v>21</v>
      </c>
      <c r="BP10" s="80" t="s">
        <v>25</v>
      </c>
      <c r="BQ10" s="80" t="s">
        <v>32</v>
      </c>
      <c r="BR10" s="80" t="s">
        <v>32</v>
      </c>
      <c r="BS10" s="80" t="s">
        <v>32</v>
      </c>
      <c r="BT10" s="80" t="s">
        <v>34</v>
      </c>
      <c r="BV10" s="79" t="s">
        <v>48</v>
      </c>
      <c r="BW10" s="80" t="s">
        <v>21</v>
      </c>
      <c r="BX10" s="80" t="s">
        <v>25</v>
      </c>
      <c r="BY10" s="80" t="s">
        <v>32</v>
      </c>
      <c r="BZ10" s="80" t="s">
        <v>32</v>
      </c>
      <c r="CA10" s="80" t="s">
        <v>32</v>
      </c>
      <c r="CB10" s="80" t="s">
        <v>34</v>
      </c>
      <c r="CD10" s="79" t="s">
        <v>48</v>
      </c>
      <c r="CE10" s="80" t="s">
        <v>21</v>
      </c>
      <c r="CF10" s="80" t="s">
        <v>25</v>
      </c>
      <c r="CG10" s="80" t="s">
        <v>32</v>
      </c>
      <c r="CH10" s="80" t="s">
        <v>32</v>
      </c>
      <c r="CI10" s="80" t="s">
        <v>32</v>
      </c>
      <c r="CJ10" s="80" t="s">
        <v>34</v>
      </c>
      <c r="CL10" s="79" t="s">
        <v>48</v>
      </c>
      <c r="CM10" s="80" t="s">
        <v>21</v>
      </c>
      <c r="CN10" s="130" t="s">
        <v>25</v>
      </c>
      <c r="CO10" s="80" t="s">
        <v>32</v>
      </c>
      <c r="CP10" s="80" t="s">
        <v>32</v>
      </c>
      <c r="CQ10" s="80" t="s">
        <v>34</v>
      </c>
      <c r="CS10" s="79" t="s">
        <v>48</v>
      </c>
      <c r="CT10" s="80" t="s">
        <v>21</v>
      </c>
      <c r="CU10" s="80" t="s">
        <v>25</v>
      </c>
      <c r="CV10" s="80" t="s">
        <v>32</v>
      </c>
      <c r="CW10" s="80" t="s">
        <v>32</v>
      </c>
      <c r="CX10" s="80" t="s">
        <v>34</v>
      </c>
      <c r="CZ10" s="79" t="s">
        <v>48</v>
      </c>
      <c r="DA10" s="80" t="s">
        <v>21</v>
      </c>
      <c r="DB10" s="80" t="s">
        <v>25</v>
      </c>
      <c r="DC10" s="80" t="s">
        <v>32</v>
      </c>
      <c r="DD10" s="80" t="s">
        <v>34</v>
      </c>
      <c r="DF10" s="79" t="s">
        <v>48</v>
      </c>
      <c r="DG10" s="80" t="s">
        <v>21</v>
      </c>
      <c r="DH10" s="80" t="s">
        <v>25</v>
      </c>
      <c r="DI10" s="80" t="s">
        <v>32</v>
      </c>
      <c r="DJ10" s="80" t="s">
        <v>34</v>
      </c>
      <c r="DL10" s="79" t="s">
        <v>48</v>
      </c>
      <c r="DM10" s="80" t="s">
        <v>21</v>
      </c>
      <c r="DN10" s="80" t="s">
        <v>25</v>
      </c>
      <c r="DO10" s="80" t="s">
        <v>32</v>
      </c>
      <c r="DP10" s="80" t="s">
        <v>32</v>
      </c>
      <c r="DQ10" s="80" t="s">
        <v>34</v>
      </c>
      <c r="DS10" s="79" t="s">
        <v>48</v>
      </c>
      <c r="DT10" s="80" t="s">
        <v>21</v>
      </c>
      <c r="DU10" s="80" t="s">
        <v>25</v>
      </c>
      <c r="DV10" s="80" t="s">
        <v>32</v>
      </c>
      <c r="DW10" s="80" t="s">
        <v>34</v>
      </c>
      <c r="DY10" s="79" t="s">
        <v>48</v>
      </c>
      <c r="DZ10" s="80" t="s">
        <v>21</v>
      </c>
      <c r="EA10" s="80" t="s">
        <v>25</v>
      </c>
      <c r="EB10" s="80" t="s">
        <v>32</v>
      </c>
      <c r="EC10" s="80" t="s">
        <v>32</v>
      </c>
      <c r="ED10" s="80" t="s">
        <v>34</v>
      </c>
      <c r="EF10" s="79" t="s">
        <v>48</v>
      </c>
      <c r="EG10" s="80" t="s">
        <v>21</v>
      </c>
      <c r="EH10" s="80" t="s">
        <v>25</v>
      </c>
      <c r="EI10" s="80" t="s">
        <v>32</v>
      </c>
      <c r="EJ10" s="80" t="s">
        <v>34</v>
      </c>
      <c r="EL10" s="79" t="s">
        <v>48</v>
      </c>
      <c r="EM10" s="82" t="s">
        <v>21</v>
      </c>
      <c r="EN10" s="82" t="s">
        <v>25</v>
      </c>
      <c r="EO10" s="82" t="s">
        <v>32</v>
      </c>
      <c r="EP10" s="82" t="s">
        <v>32</v>
      </c>
      <c r="EQ10" s="82" t="s">
        <v>34</v>
      </c>
      <c r="ES10" s="79" t="s">
        <v>48</v>
      </c>
      <c r="ET10" s="82" t="s">
        <v>21</v>
      </c>
      <c r="EU10" s="82" t="s">
        <v>25</v>
      </c>
      <c r="EV10" s="82" t="s">
        <v>32</v>
      </c>
      <c r="EW10" s="80" t="s">
        <v>32</v>
      </c>
      <c r="EX10" s="82" t="s">
        <v>34</v>
      </c>
      <c r="EZ10" s="79" t="s">
        <v>48</v>
      </c>
      <c r="FA10" s="80" t="s">
        <v>21</v>
      </c>
      <c r="FB10" s="80" t="s">
        <v>25</v>
      </c>
      <c r="FC10" s="80" t="s">
        <v>32</v>
      </c>
      <c r="FD10" s="80" t="s">
        <v>34</v>
      </c>
      <c r="FF10" s="79" t="s">
        <v>48</v>
      </c>
      <c r="FG10" s="80" t="s">
        <v>21</v>
      </c>
      <c r="FH10" s="80" t="s">
        <v>25</v>
      </c>
      <c r="FI10" s="80" t="s">
        <v>32</v>
      </c>
      <c r="FJ10" s="80" t="s">
        <v>34</v>
      </c>
      <c r="FL10" s="79" t="s">
        <v>48</v>
      </c>
      <c r="FM10" s="80" t="s">
        <v>21</v>
      </c>
      <c r="FN10" s="80" t="s">
        <v>25</v>
      </c>
      <c r="FO10" s="80" t="s">
        <v>32</v>
      </c>
      <c r="FP10" s="80" t="s">
        <v>34</v>
      </c>
      <c r="FR10" s="79" t="s">
        <v>48</v>
      </c>
      <c r="FS10" s="80" t="s">
        <v>21</v>
      </c>
      <c r="FT10" s="80" t="s">
        <v>25</v>
      </c>
      <c r="FU10" s="80" t="s">
        <v>32</v>
      </c>
      <c r="FV10" s="80" t="s">
        <v>32</v>
      </c>
      <c r="FW10" s="80" t="s">
        <v>34</v>
      </c>
      <c r="FY10" s="79" t="s">
        <v>48</v>
      </c>
      <c r="FZ10" s="80" t="s">
        <v>21</v>
      </c>
      <c r="GA10" s="80" t="s">
        <v>25</v>
      </c>
      <c r="GB10" s="80" t="s">
        <v>32</v>
      </c>
      <c r="GC10" s="80" t="s">
        <v>32</v>
      </c>
      <c r="GD10" s="80" t="s">
        <v>34</v>
      </c>
      <c r="GF10" s="79" t="s">
        <v>48</v>
      </c>
      <c r="GG10" s="80" t="s">
        <v>21</v>
      </c>
      <c r="GH10" s="80" t="s">
        <v>25</v>
      </c>
      <c r="GI10" s="80" t="s">
        <v>32</v>
      </c>
      <c r="GJ10" s="80" t="s">
        <v>32</v>
      </c>
      <c r="GK10" s="80" t="s">
        <v>34</v>
      </c>
      <c r="GM10" s="79" t="s">
        <v>48</v>
      </c>
      <c r="GN10" s="80" t="s">
        <v>21</v>
      </c>
      <c r="GO10" s="80" t="s">
        <v>25</v>
      </c>
      <c r="GP10" s="80" t="s">
        <v>32</v>
      </c>
      <c r="GQ10" s="80" t="s">
        <v>32</v>
      </c>
      <c r="GR10" s="80" t="s">
        <v>34</v>
      </c>
    </row>
    <row r="11" spans="1:200" x14ac:dyDescent="0.25">
      <c r="X11" s="71"/>
      <c r="Y11" s="76"/>
      <c r="Z11" s="76"/>
      <c r="AA11" s="76"/>
      <c r="AB11" s="76"/>
      <c r="AC11" s="76"/>
      <c r="AD11" s="76"/>
      <c r="AF11" s="71"/>
      <c r="AG11" s="76"/>
      <c r="AH11" s="76"/>
      <c r="AI11" s="76"/>
      <c r="AJ11" s="76"/>
      <c r="AK11" s="76"/>
      <c r="AL11" s="76"/>
      <c r="AN11" s="71"/>
      <c r="AO11" s="76"/>
      <c r="AP11" s="76"/>
      <c r="AQ11" s="76"/>
      <c r="AR11" s="76"/>
      <c r="AS11" s="76"/>
      <c r="AT11" s="76"/>
      <c r="AV11" s="71"/>
      <c r="AW11" s="76"/>
      <c r="AX11" s="76"/>
      <c r="AY11" s="76"/>
      <c r="AZ11" s="76"/>
      <c r="BA11" s="76"/>
      <c r="BB11" s="76"/>
      <c r="BD11" s="71"/>
      <c r="BE11" s="76"/>
      <c r="BF11" s="76"/>
      <c r="BG11" s="76"/>
      <c r="BH11" s="76"/>
      <c r="BI11" s="76"/>
      <c r="BJ11" s="76"/>
      <c r="BL11" s="71"/>
      <c r="BM11" s="76"/>
      <c r="BN11" s="76"/>
      <c r="BO11" s="76"/>
      <c r="BP11" s="76"/>
      <c r="BQ11" s="76"/>
      <c r="BR11" s="76"/>
      <c r="BS11" s="76"/>
      <c r="BT11" s="76"/>
      <c r="BV11" s="71"/>
      <c r="BW11" s="76"/>
      <c r="BX11" s="76"/>
      <c r="BY11" s="76"/>
      <c r="BZ11" s="76"/>
      <c r="CA11" s="76"/>
      <c r="CB11" s="76"/>
      <c r="CD11" s="71"/>
      <c r="CE11" s="76"/>
      <c r="CF11" s="76"/>
      <c r="CG11" s="76"/>
      <c r="CH11" s="76"/>
      <c r="CI11" s="76"/>
      <c r="CJ11" s="76"/>
      <c r="CL11" s="71"/>
      <c r="CM11" s="76"/>
      <c r="CN11" s="131"/>
      <c r="CO11" s="76"/>
      <c r="CP11" s="76"/>
      <c r="CQ11" s="76"/>
      <c r="CS11" s="71"/>
      <c r="CT11" s="76"/>
      <c r="CU11" s="76"/>
      <c r="CV11" s="76"/>
      <c r="CW11" s="76"/>
      <c r="CX11" s="76"/>
      <c r="CZ11" s="71"/>
      <c r="DA11" s="76"/>
      <c r="DB11" s="76"/>
      <c r="DC11" s="76"/>
      <c r="DD11" s="76"/>
      <c r="DF11" s="71"/>
      <c r="DG11" s="76"/>
      <c r="DH11" s="76"/>
      <c r="DI11" s="76"/>
      <c r="DJ11" s="76"/>
      <c r="DL11" s="71"/>
      <c r="DM11" s="76"/>
      <c r="DN11" s="76"/>
      <c r="DO11" s="76"/>
      <c r="DP11" s="76"/>
      <c r="DQ11" s="76"/>
      <c r="DS11" s="76"/>
      <c r="DT11" s="76"/>
      <c r="DU11" s="76"/>
      <c r="DV11" s="76"/>
      <c r="DW11" s="76"/>
      <c r="DY11" s="83"/>
      <c r="DZ11" s="76"/>
      <c r="EA11" s="76"/>
      <c r="EB11" s="76"/>
      <c r="EC11" s="76"/>
      <c r="ED11" s="76"/>
      <c r="EF11" s="83"/>
      <c r="EG11" s="76"/>
      <c r="EH11" s="76"/>
      <c r="EI11" s="76"/>
      <c r="EJ11" s="76"/>
      <c r="EL11" s="83"/>
      <c r="EM11" s="84"/>
      <c r="EN11" s="76"/>
      <c r="EO11" s="84"/>
      <c r="EP11" s="84"/>
      <c r="EQ11" s="84"/>
      <c r="ES11" s="83"/>
      <c r="ET11" s="84"/>
      <c r="EU11" s="76"/>
      <c r="EV11" s="84"/>
      <c r="EW11" s="84"/>
      <c r="EX11" s="84"/>
      <c r="EZ11" s="83"/>
      <c r="FF11" s="83"/>
      <c r="FL11" s="83"/>
      <c r="FR11" s="83"/>
      <c r="FY11" s="83"/>
      <c r="GF11" s="83"/>
      <c r="GM11" s="83"/>
    </row>
    <row r="12" spans="1:200" ht="13.8" x14ac:dyDescent="0.3">
      <c r="B12" s="85">
        <v>44742</v>
      </c>
      <c r="C12" s="86">
        <f t="shared" ref="C12:C50" si="0">VLOOKUP(A15,TotalEPB_DS,13,FALSE)</f>
        <v>113058610.16</v>
      </c>
      <c r="D12" s="40">
        <f t="shared" ref="D12:D50" si="1">VLOOKUP(A15,SeriesTotalEPB_DS,6,FALSE)-C12</f>
        <v>0</v>
      </c>
      <c r="F12" s="85">
        <v>44561</v>
      </c>
      <c r="G12" s="85"/>
      <c r="H12" s="85">
        <v>44545</v>
      </c>
      <c r="I12" s="40"/>
      <c r="N12" s="40"/>
      <c r="O12" s="85">
        <v>44561</v>
      </c>
      <c r="P12" s="85"/>
      <c r="Q12" s="85">
        <v>44545</v>
      </c>
      <c r="R12" s="40">
        <f>SUM(Y12,AG12,AO12,AW12,BE12,BM12,BO12,BW12,CE12,CM12,CT12,DA12,DG12,DM12,DT12,DZ12,EG12,EM12,ET12,FA12,FG12,FM12,FS12,FZ12,GG12,GN12)</f>
        <v>0</v>
      </c>
      <c r="S12" s="40">
        <f>SUM(AA12,AI12,AQ12,AY12,BG12,BQ12,BY12,CG12,CO12,CV12,DC12,DI12,DO12,DV12,EB12,EI12,EO12,EV12,FC12,FI12,FO12,FU12,GB12,GI12,GP12)</f>
        <v>56529305.079999998</v>
      </c>
      <c r="T12" s="40">
        <f>SUM(AB12,BR12,BZ12,CH12,CP12,CW12,DP12,EC12,EP12,EW12,FV12,GC12,GJ12,GQ12)</f>
        <v>0</v>
      </c>
      <c r="U12" s="40">
        <f>SUM(AC12,AS12,BA12,BI12,BS12,CA12,CI12)</f>
        <v>0</v>
      </c>
      <c r="V12" s="40">
        <f t="shared" ref="V12:V43" si="2">SUM(R12:U12)</f>
        <v>56529305.079999998</v>
      </c>
      <c r="X12" s="85">
        <v>44545</v>
      </c>
      <c r="Y12" s="40"/>
      <c r="Z12" s="101"/>
      <c r="AA12" s="40"/>
      <c r="AB12" s="40">
        <v>0</v>
      </c>
      <c r="AC12" s="40"/>
      <c r="AD12" s="40">
        <f t="shared" ref="AD12:AD75" si="3">SUM(Y12,AA12,AB12,AC12)</f>
        <v>0</v>
      </c>
      <c r="AF12" s="85">
        <v>44545</v>
      </c>
      <c r="AG12" s="40"/>
      <c r="AH12" s="101"/>
      <c r="AI12" s="40"/>
      <c r="AJ12" s="40">
        <v>0</v>
      </c>
      <c r="AK12" s="40"/>
      <c r="AL12" s="40">
        <f t="shared" ref="AL12:AL43" si="4">SUM(AG12,AI12,AJ12,AK12)</f>
        <v>0</v>
      </c>
      <c r="AN12" s="85">
        <v>44545</v>
      </c>
      <c r="AO12" s="40">
        <v>0</v>
      </c>
      <c r="AP12" s="101"/>
      <c r="AQ12" s="40">
        <f t="shared" ref="AQ12:AQ43" si="5">AO12*AP12/2+AQ13</f>
        <v>1637750</v>
      </c>
      <c r="AR12" s="40">
        <v>0</v>
      </c>
      <c r="AS12" s="40"/>
      <c r="AT12" s="40">
        <f t="shared" ref="AT12:AT43" si="6">SUM(AO12,AQ12,AR12,AS12)</f>
        <v>1637750</v>
      </c>
      <c r="AV12" s="85">
        <v>44545</v>
      </c>
      <c r="AW12" s="40">
        <v>0</v>
      </c>
      <c r="AX12" s="102"/>
      <c r="AY12" s="40">
        <f t="shared" ref="AY12:AY75" si="7">ROUND(AW12*AX12/2+AY13,2)</f>
        <v>976778.88</v>
      </c>
      <c r="AZ12" s="40">
        <v>0</v>
      </c>
      <c r="BA12" s="40"/>
      <c r="BB12" s="40">
        <f t="shared" ref="BB12:BB43" si="8">SUM(AW12,AY12,AZ12,BA12)</f>
        <v>976778.88</v>
      </c>
      <c r="BD12" s="85">
        <v>44545</v>
      </c>
      <c r="BE12" s="40">
        <v>0</v>
      </c>
      <c r="BF12" s="102"/>
      <c r="BG12" s="40">
        <f t="shared" ref="BG12:BG23" si="9">BE12*BF12/2+BG13</f>
        <v>976971.20000000007</v>
      </c>
      <c r="BH12" s="40">
        <v>0</v>
      </c>
      <c r="BI12" s="40"/>
      <c r="BJ12" s="40">
        <f t="shared" ref="BJ12:BJ43" si="10">SUM(BE12,BG12,BH12,BI12)</f>
        <v>976971.20000000007</v>
      </c>
      <c r="BL12" s="85">
        <v>44545</v>
      </c>
      <c r="BM12" s="40"/>
      <c r="BN12" s="101"/>
      <c r="BO12" s="40"/>
      <c r="BP12" s="101"/>
      <c r="BQ12" s="40">
        <f t="shared" ref="BQ12:BQ43" si="11">(BM12*BN12/2)+(BO12*BP12/2)+BQ13</f>
        <v>19862625</v>
      </c>
      <c r="BR12" s="40"/>
      <c r="BS12" s="40"/>
      <c r="BT12" s="40">
        <f t="shared" ref="BT12:BT43" si="12">SUM(BM12,BO12,BQ12,BR12,BS12)</f>
        <v>19862625</v>
      </c>
      <c r="BV12" s="85">
        <v>44545</v>
      </c>
      <c r="BW12" s="40"/>
      <c r="BX12" s="101"/>
      <c r="BY12" s="40"/>
      <c r="BZ12" s="40"/>
      <c r="CA12" s="40"/>
      <c r="CB12" s="40">
        <f t="shared" ref="CB12:CB39" si="13">SUM(BW12,BY12,BZ12,CA12)</f>
        <v>0</v>
      </c>
      <c r="CD12" s="85">
        <v>44545</v>
      </c>
      <c r="CE12" s="40">
        <v>0</v>
      </c>
      <c r="CG12" s="40">
        <v>4750125</v>
      </c>
      <c r="CH12" s="40">
        <v>0</v>
      </c>
      <c r="CI12" s="40"/>
      <c r="CJ12" s="40">
        <f t="shared" ref="CJ12:CJ43" si="14">SUM(CE12,CG12,CH12,CI12)</f>
        <v>4750125</v>
      </c>
      <c r="CL12" s="85">
        <v>44545</v>
      </c>
      <c r="CM12" s="40">
        <v>0</v>
      </c>
      <c r="CN12" s="101"/>
      <c r="CO12" s="40">
        <v>1460250</v>
      </c>
      <c r="CP12" s="40">
        <v>0</v>
      </c>
      <c r="CQ12" s="40">
        <f t="shared" ref="CQ12:CQ43" si="15">SUM(CM12,CO12,CP12)</f>
        <v>1460250</v>
      </c>
      <c r="CS12" s="85">
        <v>44545</v>
      </c>
      <c r="CT12" s="40">
        <v>0</v>
      </c>
      <c r="CU12" s="40"/>
      <c r="CV12" s="40">
        <v>3425625</v>
      </c>
      <c r="CW12" s="40">
        <v>0</v>
      </c>
      <c r="CX12" s="40">
        <f t="shared" ref="CX12:CX43" si="16">SUM(CT12,CV12,CW12)</f>
        <v>3425625</v>
      </c>
      <c r="CZ12" s="85">
        <v>44545</v>
      </c>
      <c r="DA12" s="40">
        <v>0</v>
      </c>
      <c r="DB12" s="40"/>
      <c r="DC12" s="40">
        <v>1655375</v>
      </c>
      <c r="DD12" s="40">
        <f t="shared" ref="DD12:DD43" si="17">SUM(DA12,DC12)</f>
        <v>1655375</v>
      </c>
      <c r="DF12" s="85">
        <v>44545</v>
      </c>
      <c r="DG12" s="40">
        <v>0</v>
      </c>
      <c r="DH12" s="87">
        <v>0</v>
      </c>
      <c r="DI12" s="212">
        <v>2426875</v>
      </c>
      <c r="DJ12" s="40">
        <f t="shared" ref="DJ12:DJ43" si="18">SUM(DG12,DI12)</f>
        <v>2426875</v>
      </c>
      <c r="DL12" s="85">
        <v>44545</v>
      </c>
      <c r="DM12" s="40">
        <v>0</v>
      </c>
      <c r="DN12" s="87"/>
      <c r="DO12" s="40">
        <v>14230437.5</v>
      </c>
      <c r="DP12" s="40">
        <v>0</v>
      </c>
      <c r="DQ12" s="40">
        <f t="shared" ref="DQ12:DQ43" si="19">SUM(DM12,DO12,DP12)</f>
        <v>14230437.5</v>
      </c>
      <c r="DS12" s="85">
        <v>44545</v>
      </c>
      <c r="DU12" s="87"/>
      <c r="DY12" s="85">
        <v>44545</v>
      </c>
      <c r="DZ12" s="40"/>
      <c r="EA12" s="87"/>
      <c r="EB12" s="40"/>
      <c r="EC12" s="40">
        <v>0</v>
      </c>
      <c r="ED12" s="40">
        <f t="shared" ref="ED12:ED43" si="20">SUM(DZ12,EB12,EC12)</f>
        <v>0</v>
      </c>
      <c r="EF12" s="85">
        <v>44545</v>
      </c>
      <c r="EG12" s="40"/>
      <c r="EH12" s="87"/>
      <c r="EI12" s="40"/>
      <c r="EJ12" s="40">
        <f t="shared" ref="EJ12:EJ43" si="21">SUM(EG12,EI12)</f>
        <v>0</v>
      </c>
      <c r="EL12" s="85">
        <v>44545</v>
      </c>
      <c r="EM12" s="40"/>
      <c r="EN12" s="87"/>
      <c r="EO12" s="40">
        <v>2537162.5</v>
      </c>
      <c r="EP12" s="40">
        <v>0</v>
      </c>
      <c r="EQ12" s="40">
        <f t="shared" ref="EQ12:EQ43" si="22">SUM(EM12,EO12,EP12)</f>
        <v>2537162.5</v>
      </c>
      <c r="ES12" s="85">
        <v>44545</v>
      </c>
      <c r="ET12" s="40"/>
      <c r="EU12" s="87"/>
      <c r="EV12" s="40">
        <f>(ET12+EW12)*EU12/2+EV13</f>
        <v>240967.5</v>
      </c>
      <c r="EW12" s="40"/>
      <c r="EX12" s="40">
        <f t="shared" ref="EX12:EX43" si="23">SUM(ET12,EV12,EW12)</f>
        <v>240967.5</v>
      </c>
      <c r="EZ12" s="85">
        <v>44545</v>
      </c>
      <c r="FF12" s="85">
        <v>44545</v>
      </c>
      <c r="FG12" s="40"/>
      <c r="FH12" s="87"/>
      <c r="FI12" s="40">
        <f t="shared" ref="FI12:FI27" si="24">FG12*FH12/2+FI13</f>
        <v>2126712.5</v>
      </c>
      <c r="FJ12" s="40">
        <f t="shared" ref="FJ12:FJ43" si="25">SUM(FG12,FI12)</f>
        <v>2126712.5</v>
      </c>
      <c r="FL12" s="85">
        <v>44545</v>
      </c>
      <c r="FM12" s="40"/>
      <c r="FN12" s="87"/>
      <c r="FO12" s="40">
        <f t="shared" ref="FO12:FO27" si="26">FM12*FN12/2+FO13</f>
        <v>221650</v>
      </c>
      <c r="FP12" s="40">
        <f t="shared" ref="FP12:FP43" si="27">SUM(FM12,FO12)</f>
        <v>221650</v>
      </c>
      <c r="FR12" s="85">
        <v>44545</v>
      </c>
      <c r="FS12" s="40">
        <v>0</v>
      </c>
      <c r="FT12" s="87">
        <v>0</v>
      </c>
      <c r="FU12" s="40">
        <v>0</v>
      </c>
      <c r="FV12" s="40">
        <v>0</v>
      </c>
      <c r="FW12" s="40">
        <f t="shared" ref="FW12:FW43" si="28">SUM(FS12,FU12,FV12)</f>
        <v>0</v>
      </c>
      <c r="FY12" s="85">
        <v>44545</v>
      </c>
      <c r="FZ12" s="40"/>
      <c r="GA12" s="87">
        <v>0</v>
      </c>
      <c r="GB12" s="40">
        <v>0</v>
      </c>
      <c r="GC12" s="40">
        <v>0</v>
      </c>
      <c r="GD12" s="40">
        <f t="shared" ref="GD12:GD43" si="29">SUM(FZ12,GB12,GC12)</f>
        <v>0</v>
      </c>
      <c r="GF12" s="85">
        <v>44545</v>
      </c>
      <c r="GG12" s="40"/>
      <c r="GH12" s="87"/>
      <c r="GI12" s="40"/>
      <c r="GJ12" s="40"/>
      <c r="GK12" s="40">
        <f t="shared" ref="GK12:GK43" si="30">SUM(GG12,GI12,GJ12)</f>
        <v>0</v>
      </c>
      <c r="GM12" s="85">
        <v>44545</v>
      </c>
      <c r="GR12" s="40">
        <f t="shared" ref="GR12:GR43" si="31">SUM(GN12,GP12,GQ12)</f>
        <v>0</v>
      </c>
    </row>
    <row r="13" spans="1:200" ht="13.8" x14ac:dyDescent="0.3">
      <c r="A13" s="118">
        <v>43997</v>
      </c>
      <c r="B13" s="85">
        <v>45107</v>
      </c>
      <c r="C13" s="86">
        <f t="shared" si="0"/>
        <v>213150933.98999998</v>
      </c>
      <c r="D13" s="40">
        <f t="shared" si="1"/>
        <v>0</v>
      </c>
      <c r="F13" s="85">
        <v>44742</v>
      </c>
      <c r="G13" s="85"/>
      <c r="H13" s="85">
        <v>44727</v>
      </c>
      <c r="I13" s="40">
        <f>SUM(Y12,Y13,AG12:AG13,AO12:AO13,AW12:AW13,BE12:BE13,BM12:BM13,BO12:BO13,BW12:BW13,CE12:CE13,CM12:CM13,CT12:CT13,DA12:DA13,DG12:DG13,DM12:DM13,DT12:DT13,DZ12:DZ13,EG12:EG13,EM12:EM13,ET12:ET13,FA12:FA13,FG12:FG13,FM12:FM13,FS12:FS13,FZ12:FZ13,GG12:GG13,GN12:GN13)</f>
        <v>0</v>
      </c>
      <c r="J13" s="40">
        <f>SUM(AA12,AA13,AI12:AI13,AQ12:AQ13,AY12:AY13,BG12:BG13,BQ12:BQ13,BY12:BY13,CG12:CG13,CO12:CO13,CV12:CV13,DC12:DC13,DI12:DI13,DO12:DO13,DV12:DV13,EB12:EB13,EI12:EI13,EO12:EO13,EV12:EV13,FC12:FC13,FI12:FI13,FO12:FO13,FU12:FU13,GB12:GB13,GI12:GI13,GP12:GP13)</f>
        <v>119728814.59999999</v>
      </c>
      <c r="K13" s="40">
        <f>SUM(AB12,AB13,BR12:BR13,BZ12:BZ13,CH12:CH13,CP12:CP13,CW12:CW13,DP12:DP13,EC12:EC13,EP12:EP13,EW12:EW13,FV12:FV13,GC12:GC13,GJ12:GJ13,GQ12:GQ13)</f>
        <v>0</v>
      </c>
      <c r="L13" s="40">
        <f>SUM(AC12,AC13,AS12:AS13,BA12:BA13,BI12:BI13,BS12:BS13,CA12:CA13,CI12:CI13)</f>
        <v>-6670204.4400000004</v>
      </c>
      <c r="M13" s="40">
        <f>SUM(I13:L13)</f>
        <v>113058610.16</v>
      </c>
      <c r="O13" s="85">
        <v>44742</v>
      </c>
      <c r="P13" s="85"/>
      <c r="Q13" s="85">
        <v>44727</v>
      </c>
      <c r="R13" s="40">
        <f>SUM(Y13,AG13,AO13,AW13,BE13,BM13,BO13,BW13,CE13,CM13,CT13,DA13,DG13,DM13,DT13,DZ13,EG13,EM13,ET13,FA13,FG13,FM13,FS13,FZ13,GG13,GN13)</f>
        <v>0</v>
      </c>
      <c r="S13" s="40">
        <f>SUM(AA13,AI13,AQ13,AY13,BG13,BQ13,BY13,CG13,CO13,CV13,DC13,DI13,DO13,DV13,EB13,EI13,EO13,EV13,FC13,FI13,FO13,FU13,GB13,GI13,GP13)</f>
        <v>63199509.519999996</v>
      </c>
      <c r="T13" s="40">
        <f>SUM(AB13,BR13,BZ13,CH13,CP13,CW13,DP13,EC13,EP13,EW13,FV13,GC13,GJ13,GQ13)</f>
        <v>0</v>
      </c>
      <c r="U13" s="40">
        <f t="shared" ref="U13:U76" si="32">SUM(AC13,AS13,BA13,BI13,BS13,CA13,CI13)</f>
        <v>-6670204.4400000004</v>
      </c>
      <c r="V13" s="40">
        <f t="shared" si="2"/>
        <v>56529305.079999998</v>
      </c>
      <c r="X13" s="85">
        <v>44727</v>
      </c>
      <c r="Y13" s="40"/>
      <c r="Z13" s="101"/>
      <c r="AA13" s="40">
        <v>6670204.4400000004</v>
      </c>
      <c r="AB13" s="40">
        <v>0</v>
      </c>
      <c r="AC13" s="40">
        <v>-6670204.4400000004</v>
      </c>
      <c r="AD13" s="40">
        <f t="shared" si="3"/>
        <v>0</v>
      </c>
      <c r="AF13" s="85">
        <v>44727</v>
      </c>
      <c r="AG13" s="40"/>
      <c r="AH13" s="101"/>
      <c r="AI13" s="40"/>
      <c r="AJ13" s="40">
        <v>0</v>
      </c>
      <c r="AK13" s="40"/>
      <c r="AL13" s="40">
        <f t="shared" si="4"/>
        <v>0</v>
      </c>
      <c r="AN13" s="85">
        <v>44727</v>
      </c>
      <c r="AO13" s="40">
        <v>0</v>
      </c>
      <c r="AP13" s="101"/>
      <c r="AQ13" s="40">
        <f t="shared" si="5"/>
        <v>1637750</v>
      </c>
      <c r="AR13" s="40">
        <v>0</v>
      </c>
      <c r="AS13" s="40"/>
      <c r="AT13" s="40">
        <f t="shared" si="6"/>
        <v>1637750</v>
      </c>
      <c r="AV13" s="85">
        <v>44727</v>
      </c>
      <c r="AW13" s="40">
        <v>0</v>
      </c>
      <c r="AX13" s="102"/>
      <c r="AY13" s="40">
        <f t="shared" si="7"/>
        <v>976778.88</v>
      </c>
      <c r="AZ13" s="40">
        <v>0</v>
      </c>
      <c r="BA13" s="40"/>
      <c r="BB13" s="40">
        <f t="shared" si="8"/>
        <v>976778.88</v>
      </c>
      <c r="BD13" s="85">
        <v>44727</v>
      </c>
      <c r="BE13" s="40">
        <v>0</v>
      </c>
      <c r="BF13" s="102"/>
      <c r="BG13" s="40">
        <f t="shared" si="9"/>
        <v>976971.20000000007</v>
      </c>
      <c r="BH13" s="40">
        <v>0</v>
      </c>
      <c r="BI13" s="40"/>
      <c r="BJ13" s="40">
        <f t="shared" si="10"/>
        <v>976971.20000000007</v>
      </c>
      <c r="BL13" s="85">
        <v>44727</v>
      </c>
      <c r="BM13" s="40"/>
      <c r="BN13" s="101"/>
      <c r="BO13" s="40"/>
      <c r="BP13" s="101"/>
      <c r="BQ13" s="40">
        <f t="shared" si="11"/>
        <v>19862625</v>
      </c>
      <c r="BR13" s="40"/>
      <c r="BS13" s="40"/>
      <c r="BT13" s="40">
        <f t="shared" si="12"/>
        <v>19862625</v>
      </c>
      <c r="BV13" s="85">
        <v>44727</v>
      </c>
      <c r="BW13" s="40"/>
      <c r="BX13" s="101"/>
      <c r="BY13" s="40"/>
      <c r="BZ13" s="40"/>
      <c r="CA13" s="40"/>
      <c r="CB13" s="40">
        <f t="shared" si="13"/>
        <v>0</v>
      </c>
      <c r="CD13" s="85">
        <v>44727</v>
      </c>
      <c r="CE13" s="40">
        <v>0</v>
      </c>
      <c r="CG13" s="40">
        <v>4750125</v>
      </c>
      <c r="CH13" s="40">
        <v>0</v>
      </c>
      <c r="CI13" s="40"/>
      <c r="CJ13" s="40">
        <f t="shared" si="14"/>
        <v>4750125</v>
      </c>
      <c r="CL13" s="85">
        <v>44727</v>
      </c>
      <c r="CM13" s="40">
        <v>0</v>
      </c>
      <c r="CN13" s="101"/>
      <c r="CO13" s="40">
        <v>1460250</v>
      </c>
      <c r="CP13" s="40">
        <v>0</v>
      </c>
      <c r="CQ13" s="40">
        <f t="shared" si="15"/>
        <v>1460250</v>
      </c>
      <c r="CS13" s="85">
        <v>44727</v>
      </c>
      <c r="CT13" s="40">
        <v>0</v>
      </c>
      <c r="CU13" s="40"/>
      <c r="CV13" s="40">
        <v>3425625</v>
      </c>
      <c r="CW13" s="40">
        <v>0</v>
      </c>
      <c r="CX13" s="40">
        <f t="shared" si="16"/>
        <v>3425625</v>
      </c>
      <c r="CZ13" s="85">
        <v>44727</v>
      </c>
      <c r="DA13" s="40">
        <v>0</v>
      </c>
      <c r="DB13" s="40"/>
      <c r="DC13" s="40">
        <v>1655375</v>
      </c>
      <c r="DD13" s="40">
        <f t="shared" si="17"/>
        <v>1655375</v>
      </c>
      <c r="DF13" s="85">
        <v>44727</v>
      </c>
      <c r="DG13" s="40">
        <v>0</v>
      </c>
      <c r="DH13" s="87">
        <v>0</v>
      </c>
      <c r="DI13" s="212">
        <v>2426875</v>
      </c>
      <c r="DJ13" s="40">
        <f t="shared" si="18"/>
        <v>2426875</v>
      </c>
      <c r="DL13" s="85">
        <v>44727</v>
      </c>
      <c r="DM13" s="40">
        <v>0</v>
      </c>
      <c r="DN13" s="87">
        <v>0</v>
      </c>
      <c r="DO13" s="40">
        <v>14230437.5</v>
      </c>
      <c r="DP13" s="40">
        <v>0</v>
      </c>
      <c r="DQ13" s="40">
        <f t="shared" si="19"/>
        <v>14230437.5</v>
      </c>
      <c r="DS13" s="85">
        <v>44727</v>
      </c>
      <c r="DT13" s="88"/>
      <c r="DU13" s="89"/>
      <c r="DV13" s="90"/>
      <c r="DY13" s="85">
        <v>44727</v>
      </c>
      <c r="DZ13" s="40"/>
      <c r="EA13" s="87"/>
      <c r="EB13" s="40"/>
      <c r="EC13" s="40">
        <v>0</v>
      </c>
      <c r="ED13" s="40">
        <f t="shared" si="20"/>
        <v>0</v>
      </c>
      <c r="EF13" s="85">
        <v>44727</v>
      </c>
      <c r="EG13" s="40"/>
      <c r="EH13" s="87"/>
      <c r="EI13" s="40"/>
      <c r="EJ13" s="40">
        <f t="shared" si="21"/>
        <v>0</v>
      </c>
      <c r="EL13" s="85">
        <v>44727</v>
      </c>
      <c r="EM13" s="40"/>
      <c r="EN13" s="87"/>
      <c r="EO13" s="40">
        <v>2537162.5</v>
      </c>
      <c r="EP13" s="40">
        <v>0</v>
      </c>
      <c r="EQ13" s="40">
        <f t="shared" si="22"/>
        <v>2537162.5</v>
      </c>
      <c r="ES13" s="85">
        <v>44727</v>
      </c>
      <c r="ET13" s="40"/>
      <c r="EU13" s="87"/>
      <c r="EV13" s="40">
        <f>(ET13+EW13)*EU13/2+EV14</f>
        <v>240967.5</v>
      </c>
      <c r="EW13" s="40"/>
      <c r="EX13" s="40">
        <f t="shared" si="23"/>
        <v>240967.5</v>
      </c>
      <c r="EZ13" s="85">
        <v>44727</v>
      </c>
      <c r="FF13" s="85">
        <v>44727</v>
      </c>
      <c r="FG13" s="40"/>
      <c r="FH13" s="87"/>
      <c r="FI13" s="40">
        <f t="shared" si="24"/>
        <v>2126712.5</v>
      </c>
      <c r="FJ13" s="40">
        <f t="shared" si="25"/>
        <v>2126712.5</v>
      </c>
      <c r="FL13" s="85">
        <v>44727</v>
      </c>
      <c r="FM13" s="40"/>
      <c r="FN13" s="87"/>
      <c r="FO13" s="40">
        <f t="shared" si="26"/>
        <v>221650</v>
      </c>
      <c r="FP13" s="40">
        <f t="shared" si="27"/>
        <v>221650</v>
      </c>
      <c r="FR13" s="85">
        <v>44727</v>
      </c>
      <c r="FS13" s="40">
        <v>0</v>
      </c>
      <c r="FT13" s="87">
        <v>0</v>
      </c>
      <c r="FU13" s="40">
        <v>0</v>
      </c>
      <c r="FV13" s="40">
        <v>0</v>
      </c>
      <c r="FW13" s="40">
        <f t="shared" si="28"/>
        <v>0</v>
      </c>
      <c r="FY13" s="85">
        <v>44727</v>
      </c>
      <c r="FZ13" s="40">
        <v>0</v>
      </c>
      <c r="GA13" s="87">
        <v>0</v>
      </c>
      <c r="GB13" s="40">
        <v>0</v>
      </c>
      <c r="GC13" s="40">
        <v>0</v>
      </c>
      <c r="GD13" s="40">
        <f t="shared" si="29"/>
        <v>0</v>
      </c>
      <c r="GF13" s="85">
        <v>44727</v>
      </c>
      <c r="GG13" s="40"/>
      <c r="GH13" s="87"/>
      <c r="GI13" s="40"/>
      <c r="GJ13" s="40"/>
      <c r="GK13" s="40">
        <f t="shared" si="30"/>
        <v>0</v>
      </c>
      <c r="GM13" s="85">
        <v>44727</v>
      </c>
      <c r="GR13" s="40">
        <f t="shared" si="31"/>
        <v>0</v>
      </c>
    </row>
    <row r="14" spans="1:200" x14ac:dyDescent="0.25">
      <c r="A14" s="118">
        <f>EDATE(A13,12)</f>
        <v>44362</v>
      </c>
      <c r="B14" s="85">
        <v>45473</v>
      </c>
      <c r="C14" s="86">
        <f t="shared" si="0"/>
        <v>269524837.66000003</v>
      </c>
      <c r="D14" s="40">
        <f t="shared" si="1"/>
        <v>0</v>
      </c>
      <c r="E14" s="40"/>
      <c r="F14" s="85">
        <v>44926</v>
      </c>
      <c r="G14" s="85"/>
      <c r="H14" s="85">
        <v>44910</v>
      </c>
      <c r="I14" s="40"/>
      <c r="O14" s="85">
        <v>44926</v>
      </c>
      <c r="P14" s="85"/>
      <c r="Q14" s="85">
        <v>44910</v>
      </c>
      <c r="R14" s="40">
        <f t="shared" ref="R14:R77" si="33">SUM(Y14,AG14,AO14,AW14,BE14,BM14,BO14,BW14,CE14,CM14,CT14,DA14,DG14,DM14,DT14,DZ14,EG14,EM14,ET14,FA14,FG14,FM14,FS14,FZ14,GG14,GN14)</f>
        <v>49201020</v>
      </c>
      <c r="S14" s="40">
        <f t="shared" ref="S14:S77" si="34">SUM(AA14,AI14,AQ14,AY14,BG14,BQ14,BY14,CG14,CO14,CV14,DC14,DI14,DO14,DV14,EB14,EI14,EO14,EV14,FC14,FI14,FO14,FU14,GB14,GI14,GP14)</f>
        <v>51903430.079999998</v>
      </c>
      <c r="T14" s="40">
        <f t="shared" ref="T14:T77" si="35">SUM(AB14,BR14,BZ14,CH14,CP14,CW14,DP14,EC14,EP14,EW14,FV14,GC14,GJ14,GQ14)</f>
        <v>40068980</v>
      </c>
      <c r="U14" s="40">
        <f t="shared" si="32"/>
        <v>-12066751.17</v>
      </c>
      <c r="V14" s="40">
        <f t="shared" si="2"/>
        <v>129106678.90999998</v>
      </c>
      <c r="X14" s="85">
        <v>44910</v>
      </c>
      <c r="Y14" s="40"/>
      <c r="Z14" s="101"/>
      <c r="AA14" s="40">
        <v>13643600</v>
      </c>
      <c r="AB14" s="40">
        <v>0</v>
      </c>
      <c r="AC14" s="40">
        <v>-12066751.17</v>
      </c>
      <c r="AD14" s="40">
        <f t="shared" si="3"/>
        <v>1576848.83</v>
      </c>
      <c r="AF14" s="85">
        <v>44910</v>
      </c>
      <c r="AG14" s="40"/>
      <c r="AH14" s="101"/>
      <c r="AI14" s="40">
        <v>0</v>
      </c>
      <c r="AJ14" s="40">
        <v>0</v>
      </c>
      <c r="AK14" s="40"/>
      <c r="AL14" s="40">
        <f t="shared" si="4"/>
        <v>0</v>
      </c>
      <c r="AN14" s="85">
        <v>44910</v>
      </c>
      <c r="AO14" s="40">
        <v>0</v>
      </c>
      <c r="AP14" s="101"/>
      <c r="AQ14" s="40">
        <f t="shared" si="5"/>
        <v>1637750</v>
      </c>
      <c r="AR14" s="40">
        <v>0</v>
      </c>
      <c r="AS14" s="40"/>
      <c r="AT14" s="40">
        <f t="shared" si="6"/>
        <v>1637750</v>
      </c>
      <c r="AV14" s="85">
        <v>44910</v>
      </c>
      <c r="AW14" s="40">
        <v>0</v>
      </c>
      <c r="AX14" s="102"/>
      <c r="AY14" s="40">
        <f t="shared" si="7"/>
        <v>976778.88</v>
      </c>
      <c r="AZ14" s="40">
        <v>0</v>
      </c>
      <c r="BA14" s="40"/>
      <c r="BB14" s="40">
        <f t="shared" si="8"/>
        <v>976778.88</v>
      </c>
      <c r="BD14" s="85">
        <v>44910</v>
      </c>
      <c r="BE14" s="40">
        <v>0</v>
      </c>
      <c r="BF14" s="102"/>
      <c r="BG14" s="40">
        <f t="shared" si="9"/>
        <v>976971.20000000007</v>
      </c>
      <c r="BH14" s="40">
        <v>0</v>
      </c>
      <c r="BI14" s="40"/>
      <c r="BJ14" s="40">
        <f t="shared" si="10"/>
        <v>976971.20000000007</v>
      </c>
      <c r="BL14" s="85">
        <v>44910</v>
      </c>
      <c r="BM14" s="40"/>
      <c r="BN14" s="101"/>
      <c r="BO14" s="40"/>
      <c r="BP14" s="101"/>
      <c r="BQ14" s="40">
        <f t="shared" si="11"/>
        <v>19862625</v>
      </c>
      <c r="BR14" s="40"/>
      <c r="BS14" s="40"/>
      <c r="BT14" s="40">
        <f t="shared" si="12"/>
        <v>19862625</v>
      </c>
      <c r="BV14" s="85">
        <v>44910</v>
      </c>
      <c r="BW14" s="40"/>
      <c r="BX14" s="101"/>
      <c r="BY14" s="40"/>
      <c r="BZ14" s="40"/>
      <c r="CA14" s="40"/>
      <c r="CB14" s="40">
        <f t="shared" si="13"/>
        <v>0</v>
      </c>
      <c r="CD14" s="85">
        <v>44910</v>
      </c>
      <c r="CE14" s="40">
        <v>0</v>
      </c>
      <c r="CG14" s="40">
        <v>4750125</v>
      </c>
      <c r="CH14" s="40">
        <v>0</v>
      </c>
      <c r="CI14" s="40"/>
      <c r="CJ14" s="40">
        <f t="shared" si="14"/>
        <v>4750125</v>
      </c>
      <c r="CL14" s="85">
        <v>44910</v>
      </c>
      <c r="CM14" s="40">
        <v>0</v>
      </c>
      <c r="CN14" s="101"/>
      <c r="CO14" s="40">
        <v>1460250</v>
      </c>
      <c r="CP14" s="40">
        <v>0</v>
      </c>
      <c r="CQ14" s="40">
        <f t="shared" si="15"/>
        <v>1460250</v>
      </c>
      <c r="CS14" s="85">
        <v>44910</v>
      </c>
      <c r="CT14" s="40">
        <v>0</v>
      </c>
      <c r="CU14" s="40"/>
      <c r="CV14" s="40">
        <v>3425625</v>
      </c>
      <c r="CW14" s="40">
        <v>0</v>
      </c>
      <c r="CX14" s="40">
        <f t="shared" si="16"/>
        <v>3425625</v>
      </c>
      <c r="CZ14" s="85">
        <v>44910</v>
      </c>
      <c r="DA14" s="40">
        <v>0</v>
      </c>
      <c r="DB14" s="40"/>
      <c r="DC14" s="40">
        <v>1655375</v>
      </c>
      <c r="DD14" s="40">
        <f t="shared" si="17"/>
        <v>1655375</v>
      </c>
      <c r="DF14" s="85">
        <v>44910</v>
      </c>
      <c r="DG14" s="40">
        <v>0</v>
      </c>
      <c r="DH14" s="87">
        <v>0</v>
      </c>
      <c r="DI14" s="40">
        <f t="shared" ref="DI14:DI53" si="36">DG14*DH14/2+DI15</f>
        <v>0</v>
      </c>
      <c r="DJ14" s="40">
        <f t="shared" si="18"/>
        <v>0</v>
      </c>
      <c r="DL14" s="85">
        <v>44910</v>
      </c>
      <c r="DM14" s="40">
        <v>37000000</v>
      </c>
      <c r="DN14" s="87">
        <v>0.05</v>
      </c>
      <c r="DO14" s="40">
        <f>(DM14*DN14)/2+DO15</f>
        <v>925000</v>
      </c>
      <c r="DP14" s="40">
        <v>0</v>
      </c>
      <c r="DQ14" s="40">
        <f t="shared" si="19"/>
        <v>37925000</v>
      </c>
      <c r="DS14" s="85">
        <v>44910</v>
      </c>
      <c r="DT14" s="88"/>
      <c r="DU14" s="89"/>
      <c r="DV14" s="90"/>
      <c r="DY14" s="85">
        <v>44910</v>
      </c>
      <c r="DZ14" s="40"/>
      <c r="EA14" s="87"/>
      <c r="EB14" s="40"/>
      <c r="EC14" s="40">
        <v>0</v>
      </c>
      <c r="ED14" s="40">
        <f t="shared" si="20"/>
        <v>0</v>
      </c>
      <c r="EF14" s="85">
        <v>44910</v>
      </c>
      <c r="EG14" s="40"/>
      <c r="EH14" s="87"/>
      <c r="EI14" s="40"/>
      <c r="EJ14" s="40">
        <f t="shared" si="21"/>
        <v>0</v>
      </c>
      <c r="EL14" s="85">
        <v>44910</v>
      </c>
      <c r="EM14" s="40"/>
      <c r="EN14" s="87"/>
      <c r="EO14" s="40"/>
      <c r="EP14" s="40">
        <v>0</v>
      </c>
      <c r="EQ14" s="40">
        <f t="shared" si="22"/>
        <v>0</v>
      </c>
      <c r="ES14" s="85">
        <v>44910</v>
      </c>
      <c r="ET14" s="40"/>
      <c r="EU14" s="87"/>
      <c r="EV14" s="40">
        <f>(ET14+EW14)*EU14/2+EV15</f>
        <v>240967.5</v>
      </c>
      <c r="EW14" s="40"/>
      <c r="EX14" s="40">
        <f t="shared" si="23"/>
        <v>240967.5</v>
      </c>
      <c r="EZ14" s="85">
        <v>44910</v>
      </c>
      <c r="FF14" s="85">
        <v>44910</v>
      </c>
      <c r="FG14" s="40">
        <v>445000</v>
      </c>
      <c r="FH14" s="87">
        <v>5.5E-2</v>
      </c>
      <c r="FI14" s="40">
        <f t="shared" si="24"/>
        <v>2126712.5</v>
      </c>
      <c r="FJ14" s="40">
        <f t="shared" si="25"/>
        <v>2571712.5</v>
      </c>
      <c r="FL14" s="85">
        <v>44910</v>
      </c>
      <c r="FM14" s="40">
        <v>1525000</v>
      </c>
      <c r="FN14" s="87">
        <v>5.5E-2</v>
      </c>
      <c r="FO14" s="40">
        <f t="shared" si="26"/>
        <v>221650</v>
      </c>
      <c r="FP14" s="40">
        <f t="shared" si="27"/>
        <v>1746650</v>
      </c>
      <c r="FR14" s="85">
        <v>44910</v>
      </c>
      <c r="FS14" s="40">
        <v>10231020</v>
      </c>
      <c r="FT14" s="87">
        <v>6.1749999999999999E-2</v>
      </c>
      <c r="FU14" s="40">
        <v>0</v>
      </c>
      <c r="FV14" s="40">
        <v>40068980</v>
      </c>
      <c r="FW14" s="40">
        <f t="shared" si="28"/>
        <v>50300000</v>
      </c>
      <c r="FY14" s="85">
        <v>44910</v>
      </c>
      <c r="FZ14" s="40"/>
      <c r="GA14" s="87">
        <v>0</v>
      </c>
      <c r="GB14" s="40">
        <v>0</v>
      </c>
      <c r="GC14" s="40">
        <v>0</v>
      </c>
      <c r="GD14" s="40">
        <f t="shared" si="29"/>
        <v>0</v>
      </c>
      <c r="GF14" s="85">
        <v>44910</v>
      </c>
      <c r="GK14" s="40">
        <f t="shared" si="30"/>
        <v>0</v>
      </c>
      <c r="GM14" s="85">
        <v>44910</v>
      </c>
      <c r="GR14" s="40">
        <f t="shared" si="31"/>
        <v>0</v>
      </c>
    </row>
    <row r="15" spans="1:200" x14ac:dyDescent="0.25">
      <c r="A15" s="118">
        <f t="shared" ref="A15:A53" si="37">EDATE(A14,12)</f>
        <v>44727</v>
      </c>
      <c r="B15" s="85">
        <v>45838</v>
      </c>
      <c r="C15" s="86">
        <f t="shared" si="0"/>
        <v>258645000.16</v>
      </c>
      <c r="D15" s="40">
        <f t="shared" si="1"/>
        <v>0</v>
      </c>
      <c r="E15" s="40"/>
      <c r="F15" s="85">
        <v>45107</v>
      </c>
      <c r="G15" s="85"/>
      <c r="H15" s="85">
        <v>45092</v>
      </c>
      <c r="I15" s="40">
        <f>SUM(Y14,Y15,AG14:AG15,AO14:AO15,AW14:AW15,BE14:BE15,BM14:BM15,BO14:BO15,BW14:BW15,CE14:CE15,CM14:CM15,CT14:CT15,DA14:DA15,DG14:DG15,DM14:DM15,DT14:DT15,DZ14:DZ15,EG14:EG15,EM14:EM15,ET14:ET15,FA14:FA15,FG14:FG15,FM14:FM15,FS14:FS15,FZ14:FZ15,GG14:GG15,GN14:GN15)</f>
        <v>60644013.100000009</v>
      </c>
      <c r="J15" s="40">
        <f>SUM(AA14,AA15,AI14:AI15,AQ14:AQ15,AY14:AY15,BG14:BG15,BQ14:BQ15,BY14:BY15,CG14:CG15,CO14:CO15,CV14:CV15,DC14:DC15,DI14:DI15,DO14:DO15,DV14:DV15,EB14:EB15,EI14:EI15,EO14:EO15,EV14:EV15,FC14:FC15,FI14:FI15,FO14:FO15,FU14:FU15,GB14:GB15,GI14:GI15,GP14:GP15)</f>
        <v>102827685.16</v>
      </c>
      <c r="K15" s="40">
        <f>SUM(AB14,AB15,BR14:BR15,BZ14:BZ15,CH14:CH15,CP14:CP15,CW14:CW15,DP14:DP15,EC14:EC15,EP14:EP15,EW14:EW15,FV14:FV15,GC14:GC15,GJ14:GJ15,GQ14:GQ15)</f>
        <v>61745986.899999991</v>
      </c>
      <c r="L15" s="40">
        <f>SUM(AC14,AC15,AS14:AS15,BA14:BA15,BI14:BI15,BS14:BS15,CA14:CA15,CI14:CI15)</f>
        <v>-12066751.17</v>
      </c>
      <c r="M15" s="40">
        <f>SUM(I15:L15)</f>
        <v>213150933.98999998</v>
      </c>
      <c r="O15" s="85">
        <v>45107</v>
      </c>
      <c r="P15" s="85"/>
      <c r="Q15" s="85">
        <v>45092</v>
      </c>
      <c r="R15" s="40">
        <f t="shared" si="33"/>
        <v>11442993.099999998</v>
      </c>
      <c r="S15" s="40">
        <f t="shared" si="34"/>
        <v>50924255.079999998</v>
      </c>
      <c r="T15" s="40">
        <f t="shared" si="35"/>
        <v>21677006.900000002</v>
      </c>
      <c r="U15" s="40">
        <f t="shared" si="32"/>
        <v>0</v>
      </c>
      <c r="V15" s="40">
        <f t="shared" si="2"/>
        <v>84044255.079999998</v>
      </c>
      <c r="X15" s="85">
        <v>45092</v>
      </c>
      <c r="Y15" s="40"/>
      <c r="Z15" s="101"/>
      <c r="AA15" s="40">
        <v>13643600</v>
      </c>
      <c r="AB15" s="40">
        <v>0</v>
      </c>
      <c r="AC15" s="40"/>
      <c r="AD15" s="40">
        <f t="shared" si="3"/>
        <v>13643600</v>
      </c>
      <c r="AF15" s="85">
        <v>45092</v>
      </c>
      <c r="AG15" s="40"/>
      <c r="AH15" s="101"/>
      <c r="AI15" s="40">
        <v>0</v>
      </c>
      <c r="AJ15" s="40">
        <v>0</v>
      </c>
      <c r="AK15" s="40"/>
      <c r="AL15" s="40">
        <f t="shared" si="4"/>
        <v>0</v>
      </c>
      <c r="AN15" s="85">
        <v>45092</v>
      </c>
      <c r="AO15" s="40">
        <v>0</v>
      </c>
      <c r="AP15" s="101"/>
      <c r="AQ15" s="40">
        <f t="shared" si="5"/>
        <v>1637750</v>
      </c>
      <c r="AR15" s="40">
        <v>0</v>
      </c>
      <c r="AS15" s="40"/>
      <c r="AT15" s="40">
        <f t="shared" si="6"/>
        <v>1637750</v>
      </c>
      <c r="AV15" s="85">
        <v>45092</v>
      </c>
      <c r="AW15" s="40">
        <v>0</v>
      </c>
      <c r="AX15" s="102"/>
      <c r="AY15" s="40">
        <f t="shared" si="7"/>
        <v>976778.88</v>
      </c>
      <c r="AZ15" s="40">
        <v>0</v>
      </c>
      <c r="BA15" s="40"/>
      <c r="BB15" s="40">
        <f t="shared" si="8"/>
        <v>976778.88</v>
      </c>
      <c r="BD15" s="85">
        <v>45092</v>
      </c>
      <c r="BE15" s="40">
        <v>0</v>
      </c>
      <c r="BF15" s="102"/>
      <c r="BG15" s="40">
        <f t="shared" si="9"/>
        <v>976971.20000000007</v>
      </c>
      <c r="BH15" s="40">
        <v>0</v>
      </c>
      <c r="BI15" s="40"/>
      <c r="BJ15" s="40">
        <f t="shared" si="10"/>
        <v>976971.20000000007</v>
      </c>
      <c r="BL15" s="85">
        <v>45092</v>
      </c>
      <c r="BM15" s="40"/>
      <c r="BN15" s="101"/>
      <c r="BO15" s="40"/>
      <c r="BP15" s="101"/>
      <c r="BQ15" s="40">
        <f t="shared" si="11"/>
        <v>19862625</v>
      </c>
      <c r="BR15" s="40"/>
      <c r="BS15" s="40"/>
      <c r="BT15" s="40">
        <f t="shared" si="12"/>
        <v>19862625</v>
      </c>
      <c r="BV15" s="85">
        <v>45092</v>
      </c>
      <c r="BW15" s="40"/>
      <c r="BX15" s="101"/>
      <c r="BY15" s="40"/>
      <c r="BZ15" s="40"/>
      <c r="CA15" s="40"/>
      <c r="CB15" s="40">
        <f t="shared" si="13"/>
        <v>0</v>
      </c>
      <c r="CD15" s="85">
        <v>45092</v>
      </c>
      <c r="CE15" s="40">
        <v>0</v>
      </c>
      <c r="CG15" s="40">
        <v>4750125</v>
      </c>
      <c r="CH15" s="40">
        <v>0</v>
      </c>
      <c r="CI15" s="40"/>
      <c r="CJ15" s="40">
        <f t="shared" si="14"/>
        <v>4750125</v>
      </c>
      <c r="CL15" s="85">
        <v>45092</v>
      </c>
      <c r="CM15" s="40">
        <v>0</v>
      </c>
      <c r="CN15" s="101"/>
      <c r="CO15" s="40">
        <v>1460250</v>
      </c>
      <c r="CP15" s="40">
        <v>0</v>
      </c>
      <c r="CQ15" s="40">
        <f t="shared" si="15"/>
        <v>1460250</v>
      </c>
      <c r="CS15" s="85">
        <v>45092</v>
      </c>
      <c r="CT15" s="40">
        <v>0</v>
      </c>
      <c r="CU15" s="40"/>
      <c r="CV15" s="40">
        <v>3425625</v>
      </c>
      <c r="CW15" s="40">
        <v>0</v>
      </c>
      <c r="CX15" s="40">
        <f t="shared" si="16"/>
        <v>3425625</v>
      </c>
      <c r="CZ15" s="85">
        <v>45092</v>
      </c>
      <c r="DA15" s="40">
        <v>0</v>
      </c>
      <c r="DB15" s="40"/>
      <c r="DC15" s="40">
        <v>1655375</v>
      </c>
      <c r="DD15" s="40">
        <f t="shared" si="17"/>
        <v>1655375</v>
      </c>
      <c r="DF15" s="85">
        <v>45092</v>
      </c>
      <c r="DG15" s="40">
        <v>0</v>
      </c>
      <c r="DH15" s="87">
        <v>0</v>
      </c>
      <c r="DI15" s="40">
        <f t="shared" si="36"/>
        <v>0</v>
      </c>
      <c r="DJ15" s="40">
        <f t="shared" si="18"/>
        <v>0</v>
      </c>
      <c r="DL15" s="85">
        <v>45092</v>
      </c>
      <c r="DM15" s="40">
        <v>0</v>
      </c>
      <c r="DN15" s="87"/>
      <c r="DO15" s="40"/>
      <c r="DP15" s="40">
        <v>0</v>
      </c>
      <c r="DQ15" s="40">
        <f t="shared" si="19"/>
        <v>0</v>
      </c>
      <c r="DS15" s="85">
        <v>45092</v>
      </c>
      <c r="DT15" s="88"/>
      <c r="DU15" s="89"/>
      <c r="DV15" s="91"/>
      <c r="DY15" s="85">
        <v>45092</v>
      </c>
      <c r="DZ15" s="40"/>
      <c r="EA15" s="87"/>
      <c r="EB15" s="40"/>
      <c r="EC15" s="40">
        <v>0</v>
      </c>
      <c r="ED15" s="40">
        <f t="shared" si="20"/>
        <v>0</v>
      </c>
      <c r="EF15" s="85">
        <v>45092</v>
      </c>
      <c r="EG15" s="40"/>
      <c r="EH15" s="87"/>
      <c r="EI15" s="40"/>
      <c r="EJ15" s="40">
        <f t="shared" si="21"/>
        <v>0</v>
      </c>
      <c r="EL15" s="85">
        <v>45092</v>
      </c>
      <c r="EM15" s="40"/>
      <c r="EN15" s="87"/>
      <c r="EO15" s="40"/>
      <c r="EP15" s="40">
        <v>0</v>
      </c>
      <c r="EQ15" s="40">
        <f t="shared" si="22"/>
        <v>0</v>
      </c>
      <c r="ES15" s="85">
        <v>45092</v>
      </c>
      <c r="ET15" s="40">
        <v>3648670.6999999997</v>
      </c>
      <c r="EU15" s="87">
        <v>5.7000000000000002E-2</v>
      </c>
      <c r="EV15" s="40">
        <f>(ET15+EW15)*EU15/2+EV16</f>
        <v>240967.5</v>
      </c>
      <c r="EW15" s="40">
        <v>4806329.3000000007</v>
      </c>
      <c r="EX15" s="40">
        <f t="shared" si="23"/>
        <v>8695967.5</v>
      </c>
      <c r="EZ15" s="85">
        <v>45092</v>
      </c>
      <c r="FF15" s="85">
        <v>45092</v>
      </c>
      <c r="FG15" s="40">
        <v>860000</v>
      </c>
      <c r="FH15" s="87">
        <v>5.5E-2</v>
      </c>
      <c r="FI15" s="40">
        <f t="shared" si="24"/>
        <v>2114475</v>
      </c>
      <c r="FJ15" s="40">
        <f t="shared" si="25"/>
        <v>2974475</v>
      </c>
      <c r="FL15" s="85">
        <v>45092</v>
      </c>
      <c r="FM15" s="40">
        <v>2915000</v>
      </c>
      <c r="FN15" s="87">
        <v>5.5E-2</v>
      </c>
      <c r="FO15" s="40">
        <f t="shared" si="26"/>
        <v>179712.5</v>
      </c>
      <c r="FP15" s="40">
        <f t="shared" si="27"/>
        <v>3094712.5</v>
      </c>
      <c r="FR15" s="85">
        <v>45092</v>
      </c>
      <c r="FS15" s="40">
        <v>3784552.2</v>
      </c>
      <c r="FT15" s="87">
        <v>6.2E-2</v>
      </c>
      <c r="FU15" s="40">
        <v>0</v>
      </c>
      <c r="FV15" s="40">
        <v>15520447.800000001</v>
      </c>
      <c r="FW15" s="40">
        <f t="shared" si="28"/>
        <v>19305000</v>
      </c>
      <c r="FY15" s="85">
        <v>45092</v>
      </c>
      <c r="FZ15" s="40">
        <v>234770.2</v>
      </c>
      <c r="GA15" s="87">
        <v>6.7000000000000004E-2</v>
      </c>
      <c r="GB15" s="40">
        <v>0</v>
      </c>
      <c r="GC15" s="40">
        <v>1350229.8</v>
      </c>
      <c r="GD15" s="40">
        <f t="shared" si="29"/>
        <v>1585000</v>
      </c>
      <c r="GF15" s="85">
        <v>45092</v>
      </c>
      <c r="GK15" s="40">
        <f t="shared" si="30"/>
        <v>0</v>
      </c>
      <c r="GM15" s="85">
        <v>45092</v>
      </c>
      <c r="GR15" s="40">
        <f t="shared" si="31"/>
        <v>0</v>
      </c>
    </row>
    <row r="16" spans="1:200" x14ac:dyDescent="0.25">
      <c r="A16" s="118">
        <f t="shared" si="37"/>
        <v>45092</v>
      </c>
      <c r="B16" s="85">
        <v>46203</v>
      </c>
      <c r="C16" s="86">
        <f t="shared" si="0"/>
        <v>238872487.66000003</v>
      </c>
      <c r="D16" s="40">
        <f t="shared" si="1"/>
        <v>0</v>
      </c>
      <c r="E16" s="40"/>
      <c r="F16" s="85">
        <v>45291</v>
      </c>
      <c r="G16" s="85"/>
      <c r="H16" s="85">
        <v>45275</v>
      </c>
      <c r="I16" s="40"/>
      <c r="O16" s="85">
        <v>45291</v>
      </c>
      <c r="P16" s="85"/>
      <c r="Q16" s="85">
        <v>45275</v>
      </c>
      <c r="R16" s="40">
        <f t="shared" si="33"/>
        <v>19319366.600000001</v>
      </c>
      <c r="S16" s="40">
        <f t="shared" si="34"/>
        <v>50579475.079999998</v>
      </c>
      <c r="T16" s="40">
        <f t="shared" si="35"/>
        <v>97320633.400000006</v>
      </c>
      <c r="U16" s="40">
        <f t="shared" si="32"/>
        <v>0</v>
      </c>
      <c r="V16" s="40">
        <f t="shared" si="2"/>
        <v>167219475.08000001</v>
      </c>
      <c r="X16" s="85">
        <v>45275</v>
      </c>
      <c r="Y16" s="40"/>
      <c r="Z16" s="156"/>
      <c r="AA16" s="40">
        <v>13643600</v>
      </c>
      <c r="AB16" s="40">
        <v>0</v>
      </c>
      <c r="AC16" s="40"/>
      <c r="AD16" s="40">
        <f t="shared" si="3"/>
        <v>13643600</v>
      </c>
      <c r="AF16" s="85">
        <v>45275</v>
      </c>
      <c r="AG16" s="40">
        <v>0</v>
      </c>
      <c r="AH16" s="156"/>
      <c r="AI16" s="40">
        <v>0</v>
      </c>
      <c r="AJ16" s="40">
        <v>0</v>
      </c>
      <c r="AK16" s="40"/>
      <c r="AL16" s="40">
        <f t="shared" si="4"/>
        <v>0</v>
      </c>
      <c r="AN16" s="85">
        <v>45275</v>
      </c>
      <c r="AO16" s="40">
        <v>0</v>
      </c>
      <c r="AP16" s="101"/>
      <c r="AQ16" s="40">
        <f t="shared" si="5"/>
        <v>1637750</v>
      </c>
      <c r="AR16" s="40">
        <v>0</v>
      </c>
      <c r="AS16" s="40"/>
      <c r="AT16" s="40">
        <f t="shared" si="6"/>
        <v>1637750</v>
      </c>
      <c r="AV16" s="85">
        <v>45275</v>
      </c>
      <c r="AW16" s="40">
        <v>0</v>
      </c>
      <c r="AX16" s="102"/>
      <c r="AY16" s="40">
        <f t="shared" si="7"/>
        <v>976778.88</v>
      </c>
      <c r="AZ16" s="40">
        <v>0</v>
      </c>
      <c r="BA16" s="40"/>
      <c r="BB16" s="40">
        <f t="shared" si="8"/>
        <v>976778.88</v>
      </c>
      <c r="BD16" s="85">
        <v>45275</v>
      </c>
      <c r="BE16" s="40">
        <v>0</v>
      </c>
      <c r="BF16" s="102"/>
      <c r="BG16" s="40">
        <f t="shared" si="9"/>
        <v>976971.20000000007</v>
      </c>
      <c r="BH16" s="40">
        <v>0</v>
      </c>
      <c r="BI16" s="40"/>
      <c r="BJ16" s="40">
        <f t="shared" si="10"/>
        <v>976971.20000000007</v>
      </c>
      <c r="BL16" s="85">
        <v>45275</v>
      </c>
      <c r="BM16" s="40"/>
      <c r="BN16" s="101"/>
      <c r="BO16" s="40"/>
      <c r="BP16" s="101"/>
      <c r="BQ16" s="40">
        <f t="shared" si="11"/>
        <v>19862625</v>
      </c>
      <c r="BR16" s="40"/>
      <c r="BS16" s="40"/>
      <c r="BT16" s="40">
        <f t="shared" si="12"/>
        <v>19862625</v>
      </c>
      <c r="BV16" s="85">
        <v>45275</v>
      </c>
      <c r="BW16" s="40"/>
      <c r="BX16" s="101"/>
      <c r="BY16" s="40"/>
      <c r="BZ16" s="40"/>
      <c r="CA16" s="40"/>
      <c r="CB16" s="40">
        <f t="shared" si="13"/>
        <v>0</v>
      </c>
      <c r="CD16" s="85">
        <v>45275</v>
      </c>
      <c r="CE16" s="40">
        <v>0</v>
      </c>
      <c r="CG16" s="40">
        <v>4750125</v>
      </c>
      <c r="CH16" s="40">
        <v>0</v>
      </c>
      <c r="CI16" s="40"/>
      <c r="CJ16" s="40">
        <f t="shared" si="14"/>
        <v>4750125</v>
      </c>
      <c r="CL16" s="85">
        <v>45275</v>
      </c>
      <c r="CM16" s="40">
        <v>0</v>
      </c>
      <c r="CN16" s="101"/>
      <c r="CO16" s="40">
        <v>1460250</v>
      </c>
      <c r="CP16" s="40">
        <v>0</v>
      </c>
      <c r="CQ16" s="40">
        <f t="shared" si="15"/>
        <v>1460250</v>
      </c>
      <c r="CS16" s="85">
        <v>45275</v>
      </c>
      <c r="CT16" s="40">
        <v>0</v>
      </c>
      <c r="CU16" s="40"/>
      <c r="CV16" s="40">
        <v>3425625</v>
      </c>
      <c r="CW16" s="40">
        <v>0</v>
      </c>
      <c r="CX16" s="40">
        <f t="shared" si="16"/>
        <v>3425625</v>
      </c>
      <c r="CZ16" s="85">
        <v>45275</v>
      </c>
      <c r="DA16" s="40">
        <v>0</v>
      </c>
      <c r="DB16" s="40"/>
      <c r="DC16" s="40">
        <v>1655375</v>
      </c>
      <c r="DD16" s="40">
        <f t="shared" si="17"/>
        <v>1655375</v>
      </c>
      <c r="DF16" s="85">
        <v>45275</v>
      </c>
      <c r="DG16" s="40">
        <v>0</v>
      </c>
      <c r="DH16" s="87">
        <v>0</v>
      </c>
      <c r="DI16" s="40">
        <f t="shared" si="36"/>
        <v>0</v>
      </c>
      <c r="DJ16" s="40">
        <f t="shared" si="18"/>
        <v>0</v>
      </c>
      <c r="DL16" s="85">
        <v>45275</v>
      </c>
      <c r="DM16" s="40">
        <v>0</v>
      </c>
      <c r="DN16" s="87">
        <v>0</v>
      </c>
      <c r="DO16" s="40"/>
      <c r="DP16" s="40">
        <v>0</v>
      </c>
      <c r="DQ16" s="40">
        <f t="shared" si="19"/>
        <v>0</v>
      </c>
      <c r="DS16" s="85">
        <v>45275</v>
      </c>
      <c r="DT16" s="92"/>
      <c r="DU16" s="89"/>
      <c r="DV16" s="91"/>
      <c r="DY16" s="85">
        <v>45275</v>
      </c>
      <c r="DZ16" s="40"/>
      <c r="EA16" s="87"/>
      <c r="EB16" s="40"/>
      <c r="EC16" s="40">
        <v>0</v>
      </c>
      <c r="ED16" s="40">
        <f t="shared" si="20"/>
        <v>0</v>
      </c>
      <c r="EF16" s="85">
        <v>45275</v>
      </c>
      <c r="EG16" s="40"/>
      <c r="EH16" s="87"/>
      <c r="EI16" s="40"/>
      <c r="EJ16" s="40">
        <f t="shared" si="21"/>
        <v>0</v>
      </c>
      <c r="EL16" s="85">
        <v>45275</v>
      </c>
      <c r="EM16" s="40">
        <v>5059821.5999999996</v>
      </c>
      <c r="EN16" s="87"/>
      <c r="EO16" s="40"/>
      <c r="EP16" s="40">
        <v>56585178.399999999</v>
      </c>
      <c r="EQ16" s="40">
        <f t="shared" si="22"/>
        <v>61645000</v>
      </c>
      <c r="ES16" s="85">
        <v>45275</v>
      </c>
      <c r="ET16" s="40"/>
      <c r="EU16" s="87"/>
      <c r="EV16" s="40"/>
      <c r="EW16" s="40"/>
      <c r="EX16" s="40">
        <f t="shared" si="23"/>
        <v>0</v>
      </c>
      <c r="EZ16" s="85">
        <v>45275</v>
      </c>
      <c r="FF16" s="85">
        <v>45275</v>
      </c>
      <c r="FG16" s="40">
        <v>1075000</v>
      </c>
      <c r="FH16" s="87">
        <v>5.5E-2</v>
      </c>
      <c r="FI16" s="40">
        <f t="shared" si="24"/>
        <v>2090825</v>
      </c>
      <c r="FJ16" s="40">
        <f t="shared" si="25"/>
        <v>3165825</v>
      </c>
      <c r="FL16" s="85">
        <v>45275</v>
      </c>
      <c r="FM16" s="40">
        <v>3620000</v>
      </c>
      <c r="FN16" s="87">
        <v>5.5E-2</v>
      </c>
      <c r="FO16" s="40">
        <f t="shared" si="26"/>
        <v>99550</v>
      </c>
      <c r="FP16" s="40">
        <f t="shared" si="27"/>
        <v>3719550</v>
      </c>
      <c r="FR16" s="85">
        <v>45275</v>
      </c>
      <c r="FS16" s="40">
        <v>9564545</v>
      </c>
      <c r="FT16" s="87">
        <v>6.2E-2</v>
      </c>
      <c r="FU16" s="40">
        <v>0</v>
      </c>
      <c r="FV16" s="40">
        <v>40735455</v>
      </c>
      <c r="FW16" s="40">
        <f t="shared" si="28"/>
        <v>50300000</v>
      </c>
      <c r="FY16" s="85">
        <v>45275</v>
      </c>
      <c r="FZ16" s="40"/>
      <c r="GA16" s="87">
        <v>0</v>
      </c>
      <c r="GB16" s="40">
        <v>0</v>
      </c>
      <c r="GC16" s="40">
        <v>0</v>
      </c>
      <c r="GD16" s="40">
        <f t="shared" si="29"/>
        <v>0</v>
      </c>
      <c r="GF16" s="85">
        <v>45275</v>
      </c>
      <c r="GK16" s="40">
        <f t="shared" si="30"/>
        <v>0</v>
      </c>
      <c r="GM16" s="85">
        <v>45275</v>
      </c>
      <c r="GR16" s="40">
        <f t="shared" si="31"/>
        <v>0</v>
      </c>
    </row>
    <row r="17" spans="1:200" x14ac:dyDescent="0.25">
      <c r="A17" s="118">
        <f t="shared" si="37"/>
        <v>45458</v>
      </c>
      <c r="B17" s="85">
        <v>46568</v>
      </c>
      <c r="C17" s="86">
        <f t="shared" si="0"/>
        <v>273264899.02999997</v>
      </c>
      <c r="D17" s="40">
        <f t="shared" si="1"/>
        <v>0</v>
      </c>
      <c r="F17" s="85">
        <v>45473</v>
      </c>
      <c r="G17" s="85"/>
      <c r="H17" s="85">
        <v>45458</v>
      </c>
      <c r="I17" s="40">
        <f>SUM(Y16,Y17,AG16:AG17,AO16:AO17,AW16:AW17,BE16:BE17,BM16:BM17,BO16:BO17,BW16:BW17,CE16:CE17,CM16:CM17,CT16:CT17,DA16:DA17,DG16:DG17,DM16:DM17,DT16:DT17,DZ16:DZ17,EG16:EG17,EM16:EM17,ET16:ET17,FA16:FA17,FG16:FG17,FM16:FM17,FS16:FS17,FZ16:FZ17,GG16:GG17,GN16:GN17)</f>
        <v>54017089.400000006</v>
      </c>
      <c r="J17" s="40">
        <f>SUM(AA16,AA17,AI16:AI17,AQ16:AQ17,AY16:AY17,BG16:BG17,BQ16:BQ17,BY16:BY17,CG16:CG17,CO16:CO17,CV16:CV17,DC16:DC17,DI16:DI17,DO16:DO17,DV16:DV17,EB16:EB17,EI16:EI17,EO16:EO17,EV16:EV17,FC16:FC17,FI16:FI17,FO16:FO17,FU16:FU17,GB16:GB17,GI16:GI17,GP16:GP17)</f>
        <v>101029837.66</v>
      </c>
      <c r="K17" s="40">
        <f>SUM(AB16,AB17,BR16:BR17,BZ16:BZ17,CH16:CH17,CP16:CP17,CW16:CW17,DP16:DP17,EC16:EC17,EP16:EP17,EW16:EW17,FV16:FV17,GC16:GC17,GJ16:GJ17,GQ16:GQ17)</f>
        <v>114477910.60000001</v>
      </c>
      <c r="L17" s="40">
        <f>SUM(AC16,AC17,AS16:AS17,BA16:BA17,BI16:BI17,BS16:BS17,CA16:CA17,CI16:CI17)</f>
        <v>0</v>
      </c>
      <c r="M17" s="40">
        <f>SUM(I17:L17)</f>
        <v>269524837.66000003</v>
      </c>
      <c r="O17" s="85">
        <v>45473</v>
      </c>
      <c r="P17" s="85"/>
      <c r="Q17" s="85">
        <v>45458</v>
      </c>
      <c r="R17" s="40">
        <f t="shared" si="33"/>
        <v>34697722.800000004</v>
      </c>
      <c r="S17" s="40">
        <f t="shared" si="34"/>
        <v>50450362.579999998</v>
      </c>
      <c r="T17" s="40">
        <f t="shared" si="35"/>
        <v>17157277.199999999</v>
      </c>
      <c r="U17" s="40">
        <f t="shared" si="32"/>
        <v>0</v>
      </c>
      <c r="V17" s="40">
        <f t="shared" si="2"/>
        <v>102305362.58</v>
      </c>
      <c r="X17" s="85">
        <v>45458</v>
      </c>
      <c r="Y17" s="40">
        <v>23950000</v>
      </c>
      <c r="Z17" s="156">
        <v>0.03</v>
      </c>
      <c r="AA17" s="40">
        <v>13643600</v>
      </c>
      <c r="AB17" s="40">
        <v>0</v>
      </c>
      <c r="AC17" s="40"/>
      <c r="AD17" s="40">
        <f t="shared" si="3"/>
        <v>37593600</v>
      </c>
      <c r="AF17" s="85">
        <v>45458</v>
      </c>
      <c r="AG17" s="40">
        <v>0</v>
      </c>
      <c r="AH17" s="156"/>
      <c r="AI17" s="40">
        <v>0</v>
      </c>
      <c r="AJ17" s="40">
        <v>0</v>
      </c>
      <c r="AK17" s="40"/>
      <c r="AL17" s="40">
        <f t="shared" si="4"/>
        <v>0</v>
      </c>
      <c r="AN17" s="85">
        <v>45458</v>
      </c>
      <c r="AO17" s="40">
        <v>0</v>
      </c>
      <c r="AP17" s="101"/>
      <c r="AQ17" s="40">
        <f t="shared" si="5"/>
        <v>1637750</v>
      </c>
      <c r="AR17" s="40">
        <v>0</v>
      </c>
      <c r="AS17" s="40"/>
      <c r="AT17" s="40">
        <f t="shared" si="6"/>
        <v>1637750</v>
      </c>
      <c r="AV17" s="85">
        <v>45458</v>
      </c>
      <c r="AW17" s="40">
        <v>0</v>
      </c>
      <c r="AX17" s="102"/>
      <c r="AY17" s="40">
        <f t="shared" si="7"/>
        <v>976778.88</v>
      </c>
      <c r="AZ17" s="40">
        <v>0</v>
      </c>
      <c r="BA17" s="40"/>
      <c r="BB17" s="40">
        <f t="shared" si="8"/>
        <v>976778.88</v>
      </c>
      <c r="BD17" s="85">
        <v>45458</v>
      </c>
      <c r="BE17" s="40">
        <v>0</v>
      </c>
      <c r="BF17" s="102"/>
      <c r="BG17" s="40">
        <f t="shared" si="9"/>
        <v>976971.20000000007</v>
      </c>
      <c r="BH17" s="40">
        <v>0</v>
      </c>
      <c r="BI17" s="40"/>
      <c r="BJ17" s="40">
        <f t="shared" si="10"/>
        <v>976971.20000000007</v>
      </c>
      <c r="BL17" s="85">
        <v>45458</v>
      </c>
      <c r="BM17" s="40"/>
      <c r="BN17" s="101"/>
      <c r="BO17" s="40"/>
      <c r="BP17" s="101"/>
      <c r="BQ17" s="40">
        <f t="shared" si="11"/>
        <v>19862625</v>
      </c>
      <c r="BR17" s="40"/>
      <c r="BS17" s="40"/>
      <c r="BT17" s="40">
        <f t="shared" si="12"/>
        <v>19862625</v>
      </c>
      <c r="BV17" s="85">
        <v>45458</v>
      </c>
      <c r="BW17" s="40"/>
      <c r="BX17" s="101"/>
      <c r="BY17" s="40"/>
      <c r="BZ17" s="40"/>
      <c r="CA17" s="40"/>
      <c r="CB17" s="40">
        <f t="shared" si="13"/>
        <v>0</v>
      </c>
      <c r="CD17" s="85">
        <v>45458</v>
      </c>
      <c r="CE17" s="40">
        <v>0</v>
      </c>
      <c r="CG17" s="40">
        <v>4750125</v>
      </c>
      <c r="CH17" s="40">
        <v>0</v>
      </c>
      <c r="CI17" s="40"/>
      <c r="CJ17" s="40">
        <f t="shared" si="14"/>
        <v>4750125</v>
      </c>
      <c r="CL17" s="85">
        <v>45458</v>
      </c>
      <c r="CM17" s="40">
        <v>0</v>
      </c>
      <c r="CN17" s="101"/>
      <c r="CO17" s="40">
        <v>1460250</v>
      </c>
      <c r="CP17" s="40">
        <v>0</v>
      </c>
      <c r="CQ17" s="40">
        <f t="shared" si="15"/>
        <v>1460250</v>
      </c>
      <c r="CS17" s="85">
        <v>45458</v>
      </c>
      <c r="CT17" s="40">
        <v>0</v>
      </c>
      <c r="CU17" s="40"/>
      <c r="CV17" s="40">
        <v>3425625</v>
      </c>
      <c r="CW17" s="40">
        <v>0</v>
      </c>
      <c r="CX17" s="40">
        <f t="shared" si="16"/>
        <v>3425625</v>
      </c>
      <c r="CZ17" s="85">
        <v>45458</v>
      </c>
      <c r="DA17" s="40">
        <v>0</v>
      </c>
      <c r="DB17" s="40"/>
      <c r="DC17" s="40">
        <v>1655375</v>
      </c>
      <c r="DD17" s="40">
        <f t="shared" si="17"/>
        <v>1655375</v>
      </c>
      <c r="DF17" s="85">
        <v>45458</v>
      </c>
      <c r="DG17" s="40">
        <v>0</v>
      </c>
      <c r="DH17" s="87">
        <v>0</v>
      </c>
      <c r="DI17" s="40">
        <f t="shared" si="36"/>
        <v>0</v>
      </c>
      <c r="DJ17" s="40">
        <f t="shared" si="18"/>
        <v>0</v>
      </c>
      <c r="DL17" s="85">
        <v>45458</v>
      </c>
      <c r="DM17" s="40">
        <v>0</v>
      </c>
      <c r="DN17" s="87">
        <v>0</v>
      </c>
      <c r="DO17" s="40"/>
      <c r="DP17" s="40">
        <v>0</v>
      </c>
      <c r="DQ17" s="40">
        <f t="shared" si="19"/>
        <v>0</v>
      </c>
      <c r="DS17" s="85">
        <v>45458</v>
      </c>
      <c r="DT17" s="91"/>
      <c r="DU17" s="89"/>
      <c r="DV17" s="91"/>
      <c r="DY17" s="85">
        <v>45458</v>
      </c>
      <c r="DZ17" s="40"/>
      <c r="EA17" s="87"/>
      <c r="EB17" s="40"/>
      <c r="EC17" s="40">
        <v>0</v>
      </c>
      <c r="ED17" s="40">
        <f t="shared" si="20"/>
        <v>0</v>
      </c>
      <c r="EF17" s="85">
        <v>45458</v>
      </c>
      <c r="EG17" s="40"/>
      <c r="EH17" s="87"/>
      <c r="EI17" s="40"/>
      <c r="EJ17" s="40">
        <f t="shared" si="21"/>
        <v>0</v>
      </c>
      <c r="EL17" s="85">
        <v>45458</v>
      </c>
      <c r="EM17" s="40">
        <v>0</v>
      </c>
      <c r="EN17" s="87"/>
      <c r="EO17" s="40"/>
      <c r="EP17" s="40">
        <v>0</v>
      </c>
      <c r="EQ17" s="40">
        <f t="shared" si="22"/>
        <v>0</v>
      </c>
      <c r="ES17" s="85">
        <v>45458</v>
      </c>
      <c r="EU17" s="87"/>
      <c r="EX17" s="40">
        <f t="shared" si="23"/>
        <v>0</v>
      </c>
      <c r="EZ17" s="85">
        <v>45458</v>
      </c>
      <c r="FF17" s="85">
        <v>45458</v>
      </c>
      <c r="FG17" s="40">
        <v>7015000</v>
      </c>
      <c r="FH17" s="87">
        <v>5.5E-2</v>
      </c>
      <c r="FI17" s="40">
        <f t="shared" si="24"/>
        <v>2061262.5</v>
      </c>
      <c r="FJ17" s="40">
        <f t="shared" si="25"/>
        <v>9076262.5</v>
      </c>
      <c r="FL17" s="85">
        <v>45458</v>
      </c>
      <c r="FM17" s="40">
        <v>0</v>
      </c>
      <c r="FN17" s="87">
        <v>0</v>
      </c>
      <c r="FO17" s="40">
        <f t="shared" si="26"/>
        <v>0</v>
      </c>
      <c r="FP17" s="40">
        <f t="shared" si="27"/>
        <v>0</v>
      </c>
      <c r="FR17" s="85">
        <v>45458</v>
      </c>
      <c r="FS17" s="40">
        <v>3512930.85</v>
      </c>
      <c r="FT17" s="87">
        <v>6.25E-2</v>
      </c>
      <c r="FU17" s="40">
        <v>0</v>
      </c>
      <c r="FV17" s="40">
        <v>15792069.15</v>
      </c>
      <c r="FW17" s="40">
        <f t="shared" si="28"/>
        <v>19305000</v>
      </c>
      <c r="FY17" s="85">
        <v>45458</v>
      </c>
      <c r="FZ17" s="40">
        <v>219791.94999999998</v>
      </c>
      <c r="GA17" s="87">
        <v>6.7000000000000004E-2</v>
      </c>
      <c r="GB17" s="40">
        <v>0</v>
      </c>
      <c r="GC17" s="40">
        <v>1365208.05</v>
      </c>
      <c r="GD17" s="40">
        <f t="shared" si="29"/>
        <v>1585000</v>
      </c>
      <c r="GF17" s="85">
        <v>45458</v>
      </c>
      <c r="GK17" s="40">
        <f t="shared" si="30"/>
        <v>0</v>
      </c>
      <c r="GM17" s="85">
        <v>45458</v>
      </c>
      <c r="GR17" s="40">
        <f t="shared" si="31"/>
        <v>0</v>
      </c>
    </row>
    <row r="18" spans="1:200" x14ac:dyDescent="0.25">
      <c r="A18" s="118">
        <f t="shared" si="37"/>
        <v>45823</v>
      </c>
      <c r="B18" s="85">
        <v>46934</v>
      </c>
      <c r="C18" s="86">
        <f t="shared" si="0"/>
        <v>231719432.27999997</v>
      </c>
      <c r="D18" s="40">
        <f t="shared" si="1"/>
        <v>0</v>
      </c>
      <c r="F18" s="85">
        <v>45657</v>
      </c>
      <c r="G18" s="85"/>
      <c r="H18" s="85">
        <v>45641</v>
      </c>
      <c r="I18" s="40"/>
      <c r="O18" s="85">
        <v>45657</v>
      </c>
      <c r="P18" s="85"/>
      <c r="Q18" s="85">
        <v>45641</v>
      </c>
      <c r="R18" s="40">
        <f t="shared" si="33"/>
        <v>17916601.25</v>
      </c>
      <c r="S18" s="40">
        <f t="shared" si="34"/>
        <v>49898200.079999998</v>
      </c>
      <c r="T18" s="40">
        <f t="shared" si="35"/>
        <v>92468398.75</v>
      </c>
      <c r="U18" s="40">
        <f t="shared" si="32"/>
        <v>0</v>
      </c>
      <c r="V18" s="40">
        <f t="shared" si="2"/>
        <v>160283200.07999998</v>
      </c>
      <c r="X18" s="85">
        <v>45641</v>
      </c>
      <c r="Y18" s="40"/>
      <c r="Z18" s="156"/>
      <c r="AA18" s="40">
        <v>13284350</v>
      </c>
      <c r="AB18" s="40">
        <v>0</v>
      </c>
      <c r="AC18" s="40"/>
      <c r="AD18" s="40">
        <f t="shared" si="3"/>
        <v>13284350</v>
      </c>
      <c r="AF18" s="85">
        <v>45641</v>
      </c>
      <c r="AG18" s="40">
        <v>0</v>
      </c>
      <c r="AH18" s="156"/>
      <c r="AI18" s="40">
        <v>0</v>
      </c>
      <c r="AJ18" s="40">
        <v>0</v>
      </c>
      <c r="AK18" s="40"/>
      <c r="AL18" s="40">
        <f t="shared" si="4"/>
        <v>0</v>
      </c>
      <c r="AN18" s="85">
        <v>45641</v>
      </c>
      <c r="AO18" s="40">
        <v>0</v>
      </c>
      <c r="AP18" s="101"/>
      <c r="AQ18" s="40">
        <f t="shared" si="5"/>
        <v>1637750</v>
      </c>
      <c r="AR18" s="40">
        <v>0</v>
      </c>
      <c r="AS18" s="40"/>
      <c r="AT18" s="40">
        <f t="shared" si="6"/>
        <v>1637750</v>
      </c>
      <c r="AV18" s="85">
        <v>45641</v>
      </c>
      <c r="AW18" s="40">
        <v>0</v>
      </c>
      <c r="AX18" s="102"/>
      <c r="AY18" s="40">
        <f t="shared" si="7"/>
        <v>976778.88</v>
      </c>
      <c r="AZ18" s="40">
        <v>0</v>
      </c>
      <c r="BA18" s="40"/>
      <c r="BB18" s="40">
        <f t="shared" si="8"/>
        <v>976778.88</v>
      </c>
      <c r="BD18" s="85">
        <v>45641</v>
      </c>
      <c r="BE18" s="40">
        <v>0</v>
      </c>
      <c r="BF18" s="102"/>
      <c r="BG18" s="40">
        <f t="shared" si="9"/>
        <v>976971.20000000007</v>
      </c>
      <c r="BH18" s="40">
        <v>0</v>
      </c>
      <c r="BI18" s="40"/>
      <c r="BJ18" s="40">
        <f t="shared" si="10"/>
        <v>976971.20000000007</v>
      </c>
      <c r="BL18" s="85">
        <v>45641</v>
      </c>
      <c r="BM18" s="40"/>
      <c r="BN18" s="101"/>
      <c r="BO18" s="40"/>
      <c r="BP18" s="101"/>
      <c r="BQ18" s="40">
        <f t="shared" si="11"/>
        <v>19862625</v>
      </c>
      <c r="BR18" s="40"/>
      <c r="BS18" s="40"/>
      <c r="BT18" s="40">
        <f t="shared" si="12"/>
        <v>19862625</v>
      </c>
      <c r="BV18" s="85">
        <v>45641</v>
      </c>
      <c r="BW18" s="40"/>
      <c r="BX18" s="101"/>
      <c r="BY18" s="40"/>
      <c r="BZ18" s="40"/>
      <c r="CA18" s="40"/>
      <c r="CB18" s="40">
        <f t="shared" si="13"/>
        <v>0</v>
      </c>
      <c r="CD18" s="85">
        <v>45641</v>
      </c>
      <c r="CE18" s="40">
        <v>0</v>
      </c>
      <c r="CG18" s="40">
        <v>4750125</v>
      </c>
      <c r="CH18" s="40">
        <v>0</v>
      </c>
      <c r="CI18" s="40"/>
      <c r="CJ18" s="40">
        <f t="shared" si="14"/>
        <v>4750125</v>
      </c>
      <c r="CL18" s="85">
        <v>45641</v>
      </c>
      <c r="CM18" s="40">
        <v>0</v>
      </c>
      <c r="CN18" s="101"/>
      <c r="CO18" s="40">
        <v>1460250</v>
      </c>
      <c r="CP18" s="40">
        <v>0</v>
      </c>
      <c r="CQ18" s="40">
        <f t="shared" si="15"/>
        <v>1460250</v>
      </c>
      <c r="CS18" s="85">
        <v>45641</v>
      </c>
      <c r="CT18" s="40">
        <v>0</v>
      </c>
      <c r="CU18" s="40"/>
      <c r="CV18" s="40">
        <v>3425625</v>
      </c>
      <c r="CW18" s="40">
        <v>0</v>
      </c>
      <c r="CX18" s="40">
        <f t="shared" si="16"/>
        <v>3425625</v>
      </c>
      <c r="CZ18" s="85">
        <v>45641</v>
      </c>
      <c r="DA18" s="40">
        <v>0</v>
      </c>
      <c r="DB18" s="40"/>
      <c r="DC18" s="40">
        <v>1655375</v>
      </c>
      <c r="DD18" s="40">
        <f t="shared" si="17"/>
        <v>1655375</v>
      </c>
      <c r="DF18" s="85">
        <v>45641</v>
      </c>
      <c r="DG18" s="40">
        <v>0</v>
      </c>
      <c r="DH18" s="87">
        <v>0</v>
      </c>
      <c r="DI18" s="40">
        <f t="shared" si="36"/>
        <v>0</v>
      </c>
      <c r="DJ18" s="40">
        <f t="shared" si="18"/>
        <v>0</v>
      </c>
      <c r="DL18" s="85">
        <v>45641</v>
      </c>
      <c r="DM18" s="40">
        <v>0</v>
      </c>
      <c r="DN18" s="87">
        <v>0</v>
      </c>
      <c r="DO18" s="40"/>
      <c r="DP18" s="40">
        <v>0</v>
      </c>
      <c r="DQ18" s="40">
        <f t="shared" si="19"/>
        <v>0</v>
      </c>
      <c r="DS18" s="85">
        <v>45641</v>
      </c>
      <c r="DT18" s="93"/>
      <c r="DU18" s="89"/>
      <c r="DV18" s="90"/>
      <c r="DY18" s="85">
        <v>45641</v>
      </c>
      <c r="DZ18" s="40"/>
      <c r="EA18" s="87"/>
      <c r="EB18" s="40"/>
      <c r="EC18" s="40">
        <v>0</v>
      </c>
      <c r="ED18" s="40">
        <f t="shared" si="20"/>
        <v>0</v>
      </c>
      <c r="EF18" s="85">
        <v>45641</v>
      </c>
      <c r="EG18" s="40"/>
      <c r="EH18" s="87"/>
      <c r="EI18" s="40"/>
      <c r="EJ18" s="40">
        <f t="shared" si="21"/>
        <v>0</v>
      </c>
      <c r="EL18" s="85">
        <v>45641</v>
      </c>
      <c r="EM18" s="40">
        <v>3988530</v>
      </c>
      <c r="EN18" s="87"/>
      <c r="EO18" s="40"/>
      <c r="EP18" s="40">
        <v>50611470</v>
      </c>
      <c r="EQ18" s="40">
        <f t="shared" si="22"/>
        <v>54600000</v>
      </c>
      <c r="ES18" s="85">
        <v>45641</v>
      </c>
      <c r="EU18" s="87"/>
      <c r="EX18" s="40">
        <f t="shared" si="23"/>
        <v>0</v>
      </c>
      <c r="EZ18" s="85">
        <v>45641</v>
      </c>
      <c r="FF18" s="85">
        <v>45641</v>
      </c>
      <c r="FG18" s="40">
        <v>4960000</v>
      </c>
      <c r="FH18" s="87">
        <v>5.5E-2</v>
      </c>
      <c r="FI18" s="40">
        <f t="shared" si="24"/>
        <v>1868350</v>
      </c>
      <c r="FJ18" s="40">
        <f t="shared" si="25"/>
        <v>6828350</v>
      </c>
      <c r="FL18" s="85">
        <v>45641</v>
      </c>
      <c r="FO18" s="40">
        <f t="shared" si="26"/>
        <v>0</v>
      </c>
      <c r="FP18" s="40">
        <f t="shared" si="27"/>
        <v>0</v>
      </c>
      <c r="FR18" s="85">
        <v>45641</v>
      </c>
      <c r="FS18" s="40">
        <v>8968071.25</v>
      </c>
      <c r="FT18" s="87">
        <v>6.25E-2</v>
      </c>
      <c r="FU18" s="40">
        <v>0</v>
      </c>
      <c r="FV18" s="40">
        <v>41856928.75</v>
      </c>
      <c r="FW18" s="40">
        <f t="shared" si="28"/>
        <v>50825000</v>
      </c>
      <c r="FY18" s="85">
        <v>45641</v>
      </c>
      <c r="FZ18" s="40"/>
      <c r="GA18" s="87">
        <v>0</v>
      </c>
      <c r="GB18" s="40">
        <v>0</v>
      </c>
      <c r="GC18" s="40">
        <v>0</v>
      </c>
      <c r="GD18" s="40">
        <f t="shared" si="29"/>
        <v>0</v>
      </c>
      <c r="GF18" s="85">
        <v>45641</v>
      </c>
      <c r="GK18" s="40">
        <f t="shared" si="30"/>
        <v>0</v>
      </c>
      <c r="GM18" s="85">
        <v>45641</v>
      </c>
      <c r="GR18" s="40">
        <f t="shared" si="31"/>
        <v>0</v>
      </c>
    </row>
    <row r="19" spans="1:200" x14ac:dyDescent="0.25">
      <c r="A19" s="118">
        <f t="shared" si="37"/>
        <v>46188</v>
      </c>
      <c r="B19" s="85">
        <v>47299</v>
      </c>
      <c r="C19" s="86">
        <f t="shared" si="0"/>
        <v>241452895.82999998</v>
      </c>
      <c r="D19" s="40">
        <f t="shared" si="1"/>
        <v>0</v>
      </c>
      <c r="F19" s="85">
        <v>45838</v>
      </c>
      <c r="G19" s="85"/>
      <c r="H19" s="85">
        <v>45823</v>
      </c>
      <c r="I19" s="40">
        <f>SUM(Y18,Y19,AG18:AG19,AO18:AO19,AW18:AW19,BE18:BE19,BM18:BM19,BO18:BO19,BW18:BW19,CE18:CE19,CM18:CM19,CT18:CT19,DA18:DA19,DG18:DG19,DM18:DM19,DT18:DT19,DZ18:DZ19,EG18:EG19,EM18:EM19,ET18:ET19,FA18:FA19,FG18:FG19,FM18:FM19,FS18:FS19,FZ18:FZ19,GG18:GG19,GN18:GN19)</f>
        <v>49566683.149999999</v>
      </c>
      <c r="J19" s="40">
        <f>SUM(AA18,AA19,AI18:AI19,AQ18:AQ19,AY18:AY19,BG18:BG19,BQ18:BQ19,BY18:BY19,CG18:CG19,CO18:CO19,CV18:CV19,DC18:DC19,DI18:DI19,DO18:DO19,DV18:DV19,EB18:EB19,EI18:EI19,EO18:EO19,EV18:EV19,FC18:FC19,FI18:FI19,FO18:FO19,FU18:FU19,GB18:GB19,GI18:GI19,GP18:GP19)</f>
        <v>99660000.159999996</v>
      </c>
      <c r="K19" s="40">
        <f>SUM(AB18,AB19,BR18:BR19,BZ18:BZ19,CH18:CH19,CP18:CP19,CW18:CW19,DP18:DP19,EC18:EC19,EP18:EP19,EW18:EW19,FV18:FV19,GC18:GC19,GJ18:GJ19,GQ18:GQ19)</f>
        <v>109418316.85000001</v>
      </c>
      <c r="L19" s="40">
        <f>SUM(AC18,AC19,AS18:AS19,BA18:BA19,BI18:BI19,BS18:BS19,CA18:CA19,CI18:CI19)</f>
        <v>0</v>
      </c>
      <c r="M19" s="40">
        <f>SUM(I19:L19)</f>
        <v>258645000.16000003</v>
      </c>
      <c r="O19" s="85">
        <v>45838</v>
      </c>
      <c r="P19" s="85"/>
      <c r="Q19" s="85">
        <v>45823</v>
      </c>
      <c r="R19" s="40">
        <f t="shared" si="33"/>
        <v>31650081.900000002</v>
      </c>
      <c r="S19" s="40">
        <f t="shared" si="34"/>
        <v>49761800.079999998</v>
      </c>
      <c r="T19" s="40">
        <f t="shared" si="35"/>
        <v>16949918.100000001</v>
      </c>
      <c r="U19" s="40">
        <f t="shared" si="32"/>
        <v>0</v>
      </c>
      <c r="V19" s="40">
        <f t="shared" si="2"/>
        <v>98361800.080000013</v>
      </c>
      <c r="X19" s="85">
        <v>45823</v>
      </c>
      <c r="Y19" s="40">
        <v>20830000</v>
      </c>
      <c r="Z19" s="156">
        <v>0.03</v>
      </c>
      <c r="AA19" s="40">
        <v>13284350</v>
      </c>
      <c r="AB19" s="40">
        <v>0</v>
      </c>
      <c r="AC19" s="40"/>
      <c r="AD19" s="40">
        <f t="shared" si="3"/>
        <v>34114350</v>
      </c>
      <c r="AF19" s="85">
        <v>45823</v>
      </c>
      <c r="AG19" s="40"/>
      <c r="AH19" s="101"/>
      <c r="AI19" s="40">
        <v>0</v>
      </c>
      <c r="AJ19" s="40">
        <v>0</v>
      </c>
      <c r="AK19" s="40"/>
      <c r="AL19" s="40">
        <f t="shared" si="4"/>
        <v>0</v>
      </c>
      <c r="AN19" s="85">
        <v>45823</v>
      </c>
      <c r="AO19" s="40">
        <v>0</v>
      </c>
      <c r="AP19" s="101"/>
      <c r="AQ19" s="40">
        <f t="shared" si="5"/>
        <v>1637750</v>
      </c>
      <c r="AR19" s="40">
        <v>0</v>
      </c>
      <c r="AS19" s="40"/>
      <c r="AT19" s="40">
        <f t="shared" si="6"/>
        <v>1637750</v>
      </c>
      <c r="AV19" s="85">
        <v>45823</v>
      </c>
      <c r="AW19" s="40">
        <v>0</v>
      </c>
      <c r="AX19" s="102"/>
      <c r="AY19" s="40">
        <f t="shared" si="7"/>
        <v>976778.88</v>
      </c>
      <c r="AZ19" s="40">
        <v>0</v>
      </c>
      <c r="BA19" s="40"/>
      <c r="BB19" s="40">
        <f t="shared" si="8"/>
        <v>976778.88</v>
      </c>
      <c r="BD19" s="85">
        <v>45823</v>
      </c>
      <c r="BE19" s="40">
        <v>0</v>
      </c>
      <c r="BF19" s="102"/>
      <c r="BG19" s="40">
        <f t="shared" si="9"/>
        <v>976971.20000000007</v>
      </c>
      <c r="BH19" s="40">
        <v>0</v>
      </c>
      <c r="BI19" s="40"/>
      <c r="BJ19" s="40">
        <f t="shared" si="10"/>
        <v>976971.20000000007</v>
      </c>
      <c r="BL19" s="85">
        <v>45823</v>
      </c>
      <c r="BM19" s="40"/>
      <c r="BN19" s="101"/>
      <c r="BO19" s="40"/>
      <c r="BP19" s="101"/>
      <c r="BQ19" s="40">
        <f t="shared" si="11"/>
        <v>19862625</v>
      </c>
      <c r="BR19" s="40"/>
      <c r="BS19" s="40"/>
      <c r="BT19" s="40">
        <f t="shared" si="12"/>
        <v>19862625</v>
      </c>
      <c r="BV19" s="85">
        <v>45823</v>
      </c>
      <c r="BW19" s="40"/>
      <c r="BX19" s="101"/>
      <c r="BY19" s="40"/>
      <c r="BZ19" s="40"/>
      <c r="CA19" s="40"/>
      <c r="CB19" s="40">
        <f t="shared" si="13"/>
        <v>0</v>
      </c>
      <c r="CD19" s="85">
        <v>45823</v>
      </c>
      <c r="CE19" s="40">
        <v>0</v>
      </c>
      <c r="CG19" s="40">
        <v>4750125</v>
      </c>
      <c r="CH19" s="40">
        <v>0</v>
      </c>
      <c r="CI19" s="40"/>
      <c r="CJ19" s="40">
        <f t="shared" si="14"/>
        <v>4750125</v>
      </c>
      <c r="CL19" s="85">
        <v>45823</v>
      </c>
      <c r="CM19" s="40">
        <v>0</v>
      </c>
      <c r="CN19" s="101"/>
      <c r="CO19" s="40">
        <v>1460250</v>
      </c>
      <c r="CP19" s="40">
        <v>0</v>
      </c>
      <c r="CQ19" s="40">
        <f t="shared" si="15"/>
        <v>1460250</v>
      </c>
      <c r="CS19" s="85">
        <v>45823</v>
      </c>
      <c r="CT19" s="40">
        <v>0</v>
      </c>
      <c r="CU19" s="40"/>
      <c r="CV19" s="40">
        <v>3425625</v>
      </c>
      <c r="CW19" s="40">
        <v>0</v>
      </c>
      <c r="CX19" s="40">
        <f t="shared" si="16"/>
        <v>3425625</v>
      </c>
      <c r="CZ19" s="85">
        <v>45823</v>
      </c>
      <c r="DA19" s="40">
        <v>0</v>
      </c>
      <c r="DB19" s="40"/>
      <c r="DC19" s="40">
        <v>1655375</v>
      </c>
      <c r="DD19" s="40">
        <f t="shared" si="17"/>
        <v>1655375</v>
      </c>
      <c r="DF19" s="85">
        <v>45823</v>
      </c>
      <c r="DG19" s="40">
        <v>0</v>
      </c>
      <c r="DH19" s="87">
        <v>0</v>
      </c>
      <c r="DI19" s="40">
        <f t="shared" si="36"/>
        <v>0</v>
      </c>
      <c r="DJ19" s="40">
        <f t="shared" si="18"/>
        <v>0</v>
      </c>
      <c r="DL19" s="85">
        <v>45823</v>
      </c>
      <c r="DM19" s="40">
        <v>0</v>
      </c>
      <c r="DN19" s="87">
        <v>0</v>
      </c>
      <c r="DO19" s="40"/>
      <c r="DP19" s="40">
        <v>0</v>
      </c>
      <c r="DQ19" s="40">
        <f t="shared" si="19"/>
        <v>0</v>
      </c>
      <c r="DS19" s="85">
        <v>45823</v>
      </c>
      <c r="DT19" s="93"/>
      <c r="DU19" s="89"/>
      <c r="DV19" s="90"/>
      <c r="DY19" s="85">
        <v>45823</v>
      </c>
      <c r="DZ19" s="40"/>
      <c r="EA19" s="87"/>
      <c r="EB19" s="40"/>
      <c r="EC19" s="40">
        <v>0</v>
      </c>
      <c r="ED19" s="40">
        <f t="shared" si="20"/>
        <v>0</v>
      </c>
      <c r="EF19" s="85">
        <v>45823</v>
      </c>
      <c r="EG19" s="40"/>
      <c r="EH19" s="87"/>
      <c r="EI19" s="40"/>
      <c r="EJ19" s="40">
        <f t="shared" si="21"/>
        <v>0</v>
      </c>
      <c r="EL19" s="85">
        <v>45823</v>
      </c>
      <c r="EM19" s="40">
        <v>0</v>
      </c>
      <c r="EN19" s="87"/>
      <c r="EO19" s="40"/>
      <c r="EP19" s="40">
        <v>0</v>
      </c>
      <c r="EQ19" s="40">
        <f t="shared" si="22"/>
        <v>0</v>
      </c>
      <c r="ES19" s="85">
        <v>45823</v>
      </c>
      <c r="EU19" s="87"/>
      <c r="EX19" s="40">
        <f t="shared" si="23"/>
        <v>0</v>
      </c>
      <c r="EZ19" s="85">
        <v>45823</v>
      </c>
      <c r="FF19" s="85">
        <v>45823</v>
      </c>
      <c r="FG19" s="40">
        <v>7400000</v>
      </c>
      <c r="FH19" s="87">
        <v>5.5E-2</v>
      </c>
      <c r="FI19" s="40">
        <f t="shared" si="24"/>
        <v>1731950</v>
      </c>
      <c r="FJ19" s="40">
        <f t="shared" si="25"/>
        <v>9131950</v>
      </c>
      <c r="FL19" s="85">
        <v>45823</v>
      </c>
      <c r="FO19" s="40">
        <f t="shared" si="26"/>
        <v>0</v>
      </c>
      <c r="FP19" s="40">
        <f t="shared" si="27"/>
        <v>0</v>
      </c>
      <c r="FR19" s="85">
        <v>45823</v>
      </c>
      <c r="FS19" s="40">
        <v>3214301.35</v>
      </c>
      <c r="FT19" s="87">
        <v>6.25E-2</v>
      </c>
      <c r="FU19" s="40">
        <v>0</v>
      </c>
      <c r="FV19" s="40">
        <v>15570698.65</v>
      </c>
      <c r="FW19" s="40">
        <f t="shared" si="28"/>
        <v>18785000</v>
      </c>
      <c r="FY19" s="85">
        <v>45823</v>
      </c>
      <c r="FZ19" s="40">
        <v>205780.55000000002</v>
      </c>
      <c r="GA19" s="87">
        <v>6.7000000000000004E-2</v>
      </c>
      <c r="GB19" s="40">
        <v>0</v>
      </c>
      <c r="GC19" s="40">
        <v>1379219.45</v>
      </c>
      <c r="GD19" s="40">
        <f t="shared" si="29"/>
        <v>1585000</v>
      </c>
      <c r="GF19" s="85">
        <v>45823</v>
      </c>
      <c r="GK19" s="40">
        <f t="shared" si="30"/>
        <v>0</v>
      </c>
      <c r="GM19" s="85">
        <v>45823</v>
      </c>
      <c r="GR19" s="40">
        <f t="shared" si="31"/>
        <v>0</v>
      </c>
    </row>
    <row r="20" spans="1:200" x14ac:dyDescent="0.25">
      <c r="A20" s="118">
        <f t="shared" si="37"/>
        <v>46553</v>
      </c>
      <c r="B20" s="85">
        <v>47664</v>
      </c>
      <c r="C20" s="86">
        <f t="shared" si="0"/>
        <v>341750550</v>
      </c>
      <c r="D20" s="40">
        <f t="shared" si="1"/>
        <v>0</v>
      </c>
      <c r="F20" s="85">
        <v>46022</v>
      </c>
      <c r="G20" s="85"/>
      <c r="H20" s="85">
        <v>46006</v>
      </c>
      <c r="I20" s="40"/>
      <c r="O20" s="85">
        <v>46022</v>
      </c>
      <c r="P20" s="85"/>
      <c r="Q20" s="85">
        <v>46006</v>
      </c>
      <c r="R20" s="40">
        <f t="shared" si="33"/>
        <v>15031644</v>
      </c>
      <c r="S20" s="40">
        <f t="shared" si="34"/>
        <v>49245850.079999998</v>
      </c>
      <c r="T20" s="40">
        <f t="shared" si="35"/>
        <v>60213356</v>
      </c>
      <c r="U20" s="40">
        <f t="shared" si="32"/>
        <v>0</v>
      </c>
      <c r="V20" s="40">
        <f t="shared" si="2"/>
        <v>124490850.08</v>
      </c>
      <c r="X20" s="85">
        <v>46006</v>
      </c>
      <c r="Y20" s="40"/>
      <c r="Z20" s="156"/>
      <c r="AA20" s="40">
        <v>12971900</v>
      </c>
      <c r="AB20" s="40">
        <v>0</v>
      </c>
      <c r="AC20" s="40"/>
      <c r="AD20" s="40">
        <f t="shared" si="3"/>
        <v>12971900</v>
      </c>
      <c r="AF20" s="85">
        <v>46006</v>
      </c>
      <c r="AG20" s="40">
        <v>0</v>
      </c>
      <c r="AH20" s="156"/>
      <c r="AI20" s="40">
        <v>0</v>
      </c>
      <c r="AJ20" s="40">
        <v>0</v>
      </c>
      <c r="AK20" s="40"/>
      <c r="AL20" s="40">
        <f t="shared" si="4"/>
        <v>0</v>
      </c>
      <c r="AN20" s="85">
        <v>46006</v>
      </c>
      <c r="AO20" s="40">
        <v>0</v>
      </c>
      <c r="AP20" s="101"/>
      <c r="AQ20" s="40">
        <f t="shared" si="5"/>
        <v>1637750</v>
      </c>
      <c r="AR20" s="40">
        <v>0</v>
      </c>
      <c r="AS20" s="40"/>
      <c r="AT20" s="40">
        <f t="shared" si="6"/>
        <v>1637750</v>
      </c>
      <c r="AV20" s="85">
        <v>46006</v>
      </c>
      <c r="AW20" s="40">
        <v>0</v>
      </c>
      <c r="AX20" s="102"/>
      <c r="AY20" s="40">
        <f t="shared" si="7"/>
        <v>976778.88</v>
      </c>
      <c r="AZ20" s="40">
        <v>0</v>
      </c>
      <c r="BA20" s="40"/>
      <c r="BB20" s="40">
        <f t="shared" si="8"/>
        <v>976778.88</v>
      </c>
      <c r="BD20" s="85">
        <v>46006</v>
      </c>
      <c r="BE20" s="40">
        <v>0</v>
      </c>
      <c r="BF20" s="102"/>
      <c r="BG20" s="40">
        <f t="shared" si="9"/>
        <v>976971.20000000007</v>
      </c>
      <c r="BH20" s="40">
        <v>0</v>
      </c>
      <c r="BI20" s="40"/>
      <c r="BJ20" s="40">
        <f t="shared" si="10"/>
        <v>976971.20000000007</v>
      </c>
      <c r="BL20" s="85">
        <v>46006</v>
      </c>
      <c r="BM20" s="40"/>
      <c r="BN20" s="101"/>
      <c r="BO20" s="40"/>
      <c r="BP20" s="101"/>
      <c r="BQ20" s="40">
        <f t="shared" si="11"/>
        <v>19862625</v>
      </c>
      <c r="BR20" s="40"/>
      <c r="BS20" s="40"/>
      <c r="BT20" s="40">
        <f t="shared" si="12"/>
        <v>19862625</v>
      </c>
      <c r="BV20" s="85">
        <v>46006</v>
      </c>
      <c r="BW20" s="40"/>
      <c r="BX20" s="101"/>
      <c r="BY20" s="40"/>
      <c r="BZ20" s="40"/>
      <c r="CA20" s="40"/>
      <c r="CB20" s="40">
        <f t="shared" si="13"/>
        <v>0</v>
      </c>
      <c r="CD20" s="85">
        <v>46006</v>
      </c>
      <c r="CE20" s="40">
        <v>0</v>
      </c>
      <c r="CG20" s="40">
        <v>4750125</v>
      </c>
      <c r="CH20" s="40">
        <v>0</v>
      </c>
      <c r="CI20" s="40"/>
      <c r="CJ20" s="40">
        <f t="shared" si="14"/>
        <v>4750125</v>
      </c>
      <c r="CL20" s="85">
        <v>46006</v>
      </c>
      <c r="CM20" s="40">
        <v>5610000</v>
      </c>
      <c r="CN20" s="101">
        <v>0.05</v>
      </c>
      <c r="CO20" s="40">
        <v>1460250</v>
      </c>
      <c r="CP20" s="40">
        <v>0</v>
      </c>
      <c r="CQ20" s="40">
        <f t="shared" si="15"/>
        <v>7070250</v>
      </c>
      <c r="CS20" s="85">
        <v>46006</v>
      </c>
      <c r="CT20" s="40">
        <v>0</v>
      </c>
      <c r="CU20" s="40"/>
      <c r="CV20" s="40">
        <v>3425625</v>
      </c>
      <c r="CW20" s="40">
        <v>0</v>
      </c>
      <c r="CX20" s="40">
        <f t="shared" si="16"/>
        <v>3425625</v>
      </c>
      <c r="CZ20" s="85">
        <v>46006</v>
      </c>
      <c r="DA20" s="40">
        <v>0</v>
      </c>
      <c r="DB20" s="40"/>
      <c r="DC20" s="40">
        <v>1655375</v>
      </c>
      <c r="DD20" s="40">
        <f t="shared" si="17"/>
        <v>1655375</v>
      </c>
      <c r="DF20" s="85">
        <v>46006</v>
      </c>
      <c r="DG20" s="40">
        <v>0</v>
      </c>
      <c r="DH20" s="87">
        <v>0</v>
      </c>
      <c r="DI20" s="40">
        <f t="shared" si="36"/>
        <v>0</v>
      </c>
      <c r="DJ20" s="40">
        <f t="shared" si="18"/>
        <v>0</v>
      </c>
      <c r="DL20" s="85">
        <v>46006</v>
      </c>
      <c r="DM20" s="40">
        <v>0</v>
      </c>
      <c r="DN20" s="87">
        <v>0</v>
      </c>
      <c r="DO20" s="40"/>
      <c r="DP20" s="40">
        <v>0</v>
      </c>
      <c r="DQ20" s="40">
        <f t="shared" si="19"/>
        <v>0</v>
      </c>
      <c r="DS20" s="85">
        <v>46006</v>
      </c>
      <c r="DU20" s="87"/>
      <c r="DY20" s="85">
        <v>46006</v>
      </c>
      <c r="DZ20" s="40"/>
      <c r="EA20" s="87"/>
      <c r="EB20" s="40"/>
      <c r="EC20" s="40">
        <v>0</v>
      </c>
      <c r="ED20" s="40">
        <f t="shared" si="20"/>
        <v>0</v>
      </c>
      <c r="EF20" s="85">
        <v>46006</v>
      </c>
      <c r="EG20" s="40"/>
      <c r="EH20" s="87"/>
      <c r="EI20" s="40"/>
      <c r="EJ20" s="40">
        <f t="shared" si="21"/>
        <v>0</v>
      </c>
      <c r="EL20" s="85">
        <v>46006</v>
      </c>
      <c r="EM20" s="40">
        <v>4186644</v>
      </c>
      <c r="EN20" s="87"/>
      <c r="EO20" s="40"/>
      <c r="EP20" s="40">
        <v>60213356</v>
      </c>
      <c r="EQ20" s="40">
        <f t="shared" si="22"/>
        <v>64400000</v>
      </c>
      <c r="ES20" s="85">
        <v>46006</v>
      </c>
      <c r="EU20" s="87"/>
      <c r="EX20" s="40">
        <f t="shared" si="23"/>
        <v>0</v>
      </c>
      <c r="EZ20" s="85">
        <v>46006</v>
      </c>
      <c r="FF20" s="85">
        <v>46006</v>
      </c>
      <c r="FG20" s="40">
        <v>5235000</v>
      </c>
      <c r="FH20" s="87">
        <v>5.5E-2</v>
      </c>
      <c r="FI20" s="40">
        <f t="shared" si="24"/>
        <v>1528450</v>
      </c>
      <c r="FJ20" s="40">
        <f t="shared" si="25"/>
        <v>6763450</v>
      </c>
      <c r="FL20" s="85">
        <v>46006</v>
      </c>
      <c r="FO20" s="40">
        <f t="shared" si="26"/>
        <v>0</v>
      </c>
      <c r="FP20" s="40">
        <f t="shared" si="27"/>
        <v>0</v>
      </c>
      <c r="FR20" s="85">
        <v>46006</v>
      </c>
      <c r="FW20" s="40">
        <f t="shared" si="28"/>
        <v>0</v>
      </c>
      <c r="FY20" s="85">
        <v>46006</v>
      </c>
      <c r="FZ20" s="40"/>
      <c r="GA20" s="87">
        <v>0</v>
      </c>
      <c r="GB20" s="40">
        <v>0</v>
      </c>
      <c r="GC20" s="40">
        <v>0</v>
      </c>
      <c r="GD20" s="40">
        <f t="shared" si="29"/>
        <v>0</v>
      </c>
      <c r="GF20" s="85">
        <v>46006</v>
      </c>
      <c r="GK20" s="40">
        <f t="shared" si="30"/>
        <v>0</v>
      </c>
      <c r="GM20" s="85">
        <v>46006</v>
      </c>
      <c r="GR20" s="40">
        <f t="shared" si="31"/>
        <v>0</v>
      </c>
    </row>
    <row r="21" spans="1:200" x14ac:dyDescent="0.25">
      <c r="A21" s="118">
        <f t="shared" si="37"/>
        <v>46919</v>
      </c>
      <c r="B21" s="85">
        <v>48029</v>
      </c>
      <c r="C21" s="86">
        <f t="shared" si="0"/>
        <v>353754675</v>
      </c>
      <c r="D21" s="40">
        <f t="shared" si="1"/>
        <v>0</v>
      </c>
      <c r="F21" s="85">
        <v>46203</v>
      </c>
      <c r="G21" s="85"/>
      <c r="H21" s="85">
        <v>46188</v>
      </c>
      <c r="I21" s="40">
        <f>SUM(Y20,Y21,AG20:AG21,AO20:AO21,AW20:AW21,BE20:BE21,BM20:BM21,BO20:BO21,BW20:BW21,CE20:CE21,CM20:CM21,CT20:CT21,DA20:DA21,DG20:DG21,DM20:DM21,DT20:DT21,DZ20:DZ21,EG20:EG21,EM20:EM21,ET20:ET21,FA20:FA21,FG20:FG21,FM20:FM21,FS20:FS21,FZ20:FZ21,GG20:GG21,GN20:GN21)</f>
        <v>47164372.600000001</v>
      </c>
      <c r="J21" s="40">
        <f>SUM(AA20,AA21,AI20:AI21,AQ20:AQ21,AY20:AY21,BG20:BG21,BQ20:BQ21,BY20:BY21,CG20:CG21,CO20:CO21,CV20:CV21,DC20:DC21,DI20:DI21,DO20:DO21,DV20:DV21,EB20:EB21,EI20:EI21,EO20:EO21,EV20:EV21,FC20:FC21,FI20:FI21,FO20:FO21,FU20:FU21,GB20:GB21,GI20:GI21,GP20:GP21)</f>
        <v>98207487.659999996</v>
      </c>
      <c r="K21" s="40">
        <f>SUM(AB20,AB21,BR20:BR21,BZ20:BZ21,CH20:CH21,CP20:CP21,CW20:CW21,DP20:DP21,EC20:EC21,EP20:EP21,EW20:EW21,FV20:FV21,GC20:GC21,GJ20:GJ21,GQ20:GQ21)</f>
        <v>93500627.400000006</v>
      </c>
      <c r="L21" s="40">
        <f>SUM(AC20,AC21,AS20:AS21,BA20:BA21,BI20:BI21,BS20:BS21,CA20:CA21,CI20:CI21)</f>
        <v>0</v>
      </c>
      <c r="M21" s="40">
        <f>SUM(I21:L21)</f>
        <v>238872487.66</v>
      </c>
      <c r="O21" s="85">
        <v>46203</v>
      </c>
      <c r="P21" s="85"/>
      <c r="Q21" s="85">
        <v>46188</v>
      </c>
      <c r="R21" s="40">
        <f t="shared" si="33"/>
        <v>32132728.600000001</v>
      </c>
      <c r="S21" s="40">
        <f t="shared" si="34"/>
        <v>48961637.579999998</v>
      </c>
      <c r="T21" s="40">
        <f t="shared" si="35"/>
        <v>33287271.399999999</v>
      </c>
      <c r="U21" s="40">
        <f t="shared" si="32"/>
        <v>0</v>
      </c>
      <c r="V21" s="40">
        <f t="shared" si="2"/>
        <v>114381637.58000001</v>
      </c>
      <c r="X21" s="85">
        <v>46188</v>
      </c>
      <c r="Y21" s="40"/>
      <c r="Z21" s="101"/>
      <c r="AA21" s="40">
        <v>12971900</v>
      </c>
      <c r="AB21" s="40">
        <v>0</v>
      </c>
      <c r="AC21" s="40"/>
      <c r="AD21" s="40">
        <f t="shared" si="3"/>
        <v>12971900</v>
      </c>
      <c r="AF21" s="85">
        <v>46188</v>
      </c>
      <c r="AG21" s="40"/>
      <c r="AH21" s="101"/>
      <c r="AI21" s="40">
        <v>0</v>
      </c>
      <c r="AJ21" s="40">
        <v>0</v>
      </c>
      <c r="AK21" s="40"/>
      <c r="AL21" s="40">
        <f t="shared" si="4"/>
        <v>0</v>
      </c>
      <c r="AN21" s="85">
        <v>46188</v>
      </c>
      <c r="AO21" s="40">
        <v>0</v>
      </c>
      <c r="AP21" s="101"/>
      <c r="AQ21" s="40">
        <f t="shared" si="5"/>
        <v>1637750</v>
      </c>
      <c r="AR21" s="40">
        <v>0</v>
      </c>
      <c r="AS21" s="40"/>
      <c r="AT21" s="40">
        <f t="shared" si="6"/>
        <v>1637750</v>
      </c>
      <c r="AV21" s="85">
        <v>46188</v>
      </c>
      <c r="AW21" s="40">
        <v>0</v>
      </c>
      <c r="AX21" s="102"/>
      <c r="AY21" s="40">
        <f t="shared" si="7"/>
        <v>976778.88</v>
      </c>
      <c r="AZ21" s="40">
        <v>0</v>
      </c>
      <c r="BA21" s="40"/>
      <c r="BB21" s="40">
        <f t="shared" si="8"/>
        <v>976778.88</v>
      </c>
      <c r="BD21" s="85">
        <v>46188</v>
      </c>
      <c r="BE21" s="40">
        <v>0</v>
      </c>
      <c r="BF21" s="102"/>
      <c r="BG21" s="40">
        <f t="shared" si="9"/>
        <v>976971.20000000007</v>
      </c>
      <c r="BH21" s="40">
        <v>0</v>
      </c>
      <c r="BI21" s="40"/>
      <c r="BJ21" s="40">
        <f t="shared" si="10"/>
        <v>976971.20000000007</v>
      </c>
      <c r="BL21" s="85">
        <v>46188</v>
      </c>
      <c r="BM21" s="40"/>
      <c r="BN21" s="101"/>
      <c r="BO21" s="40"/>
      <c r="BP21" s="101"/>
      <c r="BQ21" s="40">
        <f t="shared" si="11"/>
        <v>19862625</v>
      </c>
      <c r="BR21" s="40"/>
      <c r="BS21" s="40"/>
      <c r="BT21" s="40">
        <f t="shared" si="12"/>
        <v>19862625</v>
      </c>
      <c r="BV21" s="85">
        <v>46188</v>
      </c>
      <c r="BW21" s="40"/>
      <c r="BX21" s="101"/>
      <c r="BY21" s="40"/>
      <c r="BZ21" s="40"/>
      <c r="CA21" s="40"/>
      <c r="CB21" s="40">
        <f t="shared" si="13"/>
        <v>0</v>
      </c>
      <c r="CD21" s="85">
        <v>46188</v>
      </c>
      <c r="CE21" s="40">
        <v>0</v>
      </c>
      <c r="CG21" s="40">
        <v>4750125</v>
      </c>
      <c r="CH21" s="40">
        <v>0</v>
      </c>
      <c r="CI21" s="40"/>
      <c r="CJ21" s="40">
        <f t="shared" si="14"/>
        <v>4750125</v>
      </c>
      <c r="CL21" s="85">
        <v>46188</v>
      </c>
      <c r="CM21" s="40">
        <v>0</v>
      </c>
      <c r="CN21" s="101"/>
      <c r="CO21" s="40">
        <v>1320000</v>
      </c>
      <c r="CP21" s="40">
        <v>0</v>
      </c>
      <c r="CQ21" s="40">
        <f t="shared" si="15"/>
        <v>1320000</v>
      </c>
      <c r="CS21" s="85">
        <v>46188</v>
      </c>
      <c r="CT21" s="40">
        <v>0</v>
      </c>
      <c r="CU21" s="40"/>
      <c r="CV21" s="40">
        <v>3425625</v>
      </c>
      <c r="CW21" s="40">
        <v>0</v>
      </c>
      <c r="CX21" s="40">
        <f t="shared" si="16"/>
        <v>3425625</v>
      </c>
      <c r="CZ21" s="85">
        <v>46188</v>
      </c>
      <c r="DA21" s="40">
        <v>0</v>
      </c>
      <c r="DB21" s="40"/>
      <c r="DC21" s="40">
        <v>1655375</v>
      </c>
      <c r="DD21" s="40">
        <f t="shared" si="17"/>
        <v>1655375</v>
      </c>
      <c r="DF21" s="85">
        <v>46188</v>
      </c>
      <c r="DG21" s="40">
        <v>0</v>
      </c>
      <c r="DH21" s="87">
        <v>0</v>
      </c>
      <c r="DI21" s="40">
        <f t="shared" si="36"/>
        <v>0</v>
      </c>
      <c r="DJ21" s="40">
        <f t="shared" si="18"/>
        <v>0</v>
      </c>
      <c r="DL21" s="85">
        <v>46188</v>
      </c>
      <c r="DM21" s="40">
        <v>0</v>
      </c>
      <c r="DN21" s="87">
        <v>0</v>
      </c>
      <c r="DO21" s="40"/>
      <c r="DP21" s="40">
        <v>0</v>
      </c>
      <c r="DQ21" s="40">
        <f t="shared" si="19"/>
        <v>0</v>
      </c>
      <c r="DS21" s="85">
        <v>46188</v>
      </c>
      <c r="DU21" s="87"/>
      <c r="DY21" s="85">
        <v>46188</v>
      </c>
      <c r="DZ21" s="40">
        <v>21747940.600000001</v>
      </c>
      <c r="EA21" s="87">
        <v>5.7000000000000002E-2</v>
      </c>
      <c r="EB21" s="40"/>
      <c r="EC21" s="40">
        <v>30687059.399999999</v>
      </c>
      <c r="ED21" s="40">
        <f t="shared" si="20"/>
        <v>52435000</v>
      </c>
      <c r="EF21" s="85">
        <v>46188</v>
      </c>
      <c r="EG21" s="40"/>
      <c r="EH21" s="87"/>
      <c r="EI21" s="40"/>
      <c r="EJ21" s="40">
        <f t="shared" si="21"/>
        <v>0</v>
      </c>
      <c r="EL21" s="85">
        <v>46188</v>
      </c>
      <c r="EM21" s="40">
        <v>0</v>
      </c>
      <c r="EN21" s="87"/>
      <c r="EO21" s="40"/>
      <c r="EP21" s="40">
        <v>0</v>
      </c>
      <c r="EQ21" s="40">
        <f t="shared" si="22"/>
        <v>0</v>
      </c>
      <c r="ES21" s="85">
        <v>46188</v>
      </c>
      <c r="EU21" s="87"/>
      <c r="EX21" s="40">
        <f t="shared" si="23"/>
        <v>0</v>
      </c>
      <c r="EZ21" s="85">
        <v>46188</v>
      </c>
      <c r="FF21" s="85">
        <v>46188</v>
      </c>
      <c r="FG21" s="40">
        <v>10025000</v>
      </c>
      <c r="FH21" s="87">
        <v>5.5E-2</v>
      </c>
      <c r="FI21" s="40">
        <f t="shared" si="24"/>
        <v>1384487.5</v>
      </c>
      <c r="FJ21" s="40">
        <f t="shared" si="25"/>
        <v>11409487.5</v>
      </c>
      <c r="FL21" s="85">
        <v>46188</v>
      </c>
      <c r="FO21" s="40">
        <f t="shared" si="26"/>
        <v>0</v>
      </c>
      <c r="FP21" s="40">
        <f t="shared" si="27"/>
        <v>0</v>
      </c>
      <c r="FR21" s="85">
        <v>46188</v>
      </c>
      <c r="FW21" s="40">
        <f t="shared" si="28"/>
        <v>0</v>
      </c>
      <c r="FY21" s="85">
        <v>46188</v>
      </c>
      <c r="FZ21" s="40">
        <v>359788</v>
      </c>
      <c r="GA21" s="87">
        <v>6.7000000000000004E-2</v>
      </c>
      <c r="GB21" s="40">
        <v>0</v>
      </c>
      <c r="GC21" s="40">
        <v>2600212</v>
      </c>
      <c r="GD21" s="40">
        <f t="shared" si="29"/>
        <v>2960000</v>
      </c>
      <c r="GF21" s="85">
        <v>46188</v>
      </c>
      <c r="GK21" s="40">
        <f t="shared" si="30"/>
        <v>0</v>
      </c>
      <c r="GM21" s="85">
        <v>46188</v>
      </c>
      <c r="GR21" s="40">
        <f t="shared" si="31"/>
        <v>0</v>
      </c>
    </row>
    <row r="22" spans="1:200" x14ac:dyDescent="0.25">
      <c r="A22" s="118">
        <f t="shared" si="37"/>
        <v>47284</v>
      </c>
      <c r="B22" s="85">
        <v>48395</v>
      </c>
      <c r="C22" s="86">
        <f t="shared" si="0"/>
        <v>353742677.5</v>
      </c>
      <c r="D22" s="40">
        <f t="shared" si="1"/>
        <v>0</v>
      </c>
      <c r="F22" s="85">
        <v>46387</v>
      </c>
      <c r="G22" s="85"/>
      <c r="H22" s="85">
        <v>46371</v>
      </c>
      <c r="I22" s="40"/>
      <c r="O22" s="85">
        <v>46387</v>
      </c>
      <c r="P22" s="85"/>
      <c r="Q22" s="85">
        <v>46371</v>
      </c>
      <c r="R22" s="40">
        <f t="shared" si="33"/>
        <v>60259290.399999999</v>
      </c>
      <c r="S22" s="40">
        <f t="shared" si="34"/>
        <v>48685950.079999998</v>
      </c>
      <c r="T22" s="40">
        <f t="shared" si="35"/>
        <v>39230709.600000001</v>
      </c>
      <c r="U22" s="40">
        <f t="shared" si="32"/>
        <v>0</v>
      </c>
      <c r="V22" s="40">
        <f t="shared" si="2"/>
        <v>148175950.07999998</v>
      </c>
      <c r="X22" s="85">
        <v>46371</v>
      </c>
      <c r="Y22" s="40"/>
      <c r="Z22" s="156"/>
      <c r="AA22" s="40">
        <v>12971900</v>
      </c>
      <c r="AB22" s="40">
        <v>0</v>
      </c>
      <c r="AC22" s="40"/>
      <c r="AD22" s="40">
        <f t="shared" si="3"/>
        <v>12971900</v>
      </c>
      <c r="AF22" s="85">
        <v>46371</v>
      </c>
      <c r="AG22" s="40">
        <v>0</v>
      </c>
      <c r="AH22" s="156"/>
      <c r="AI22" s="40">
        <v>0</v>
      </c>
      <c r="AJ22" s="40">
        <v>0</v>
      </c>
      <c r="AK22" s="40"/>
      <c r="AL22" s="40">
        <f t="shared" si="4"/>
        <v>0</v>
      </c>
      <c r="AN22" s="85">
        <v>46371</v>
      </c>
      <c r="AO22" s="40">
        <v>0</v>
      </c>
      <c r="AP22" s="101"/>
      <c r="AQ22" s="40">
        <f t="shared" si="5"/>
        <v>1637750</v>
      </c>
      <c r="AR22" s="40">
        <v>0</v>
      </c>
      <c r="AS22" s="40"/>
      <c r="AT22" s="40">
        <f t="shared" si="6"/>
        <v>1637750</v>
      </c>
      <c r="AV22" s="85">
        <v>46371</v>
      </c>
      <c r="AW22" s="40">
        <v>35995000</v>
      </c>
      <c r="AX22" s="102">
        <v>3.9550000000000002E-2</v>
      </c>
      <c r="AY22" s="40">
        <f t="shared" si="7"/>
        <v>976778.88</v>
      </c>
      <c r="AZ22" s="40">
        <v>0</v>
      </c>
      <c r="BA22" s="40"/>
      <c r="BB22" s="40">
        <f t="shared" si="8"/>
        <v>36971778.880000003</v>
      </c>
      <c r="BD22" s="85">
        <v>46371</v>
      </c>
      <c r="BE22" s="40">
        <v>0</v>
      </c>
      <c r="BF22" s="102"/>
      <c r="BG22" s="40">
        <f t="shared" si="9"/>
        <v>976971.20000000007</v>
      </c>
      <c r="BH22" s="40">
        <v>0</v>
      </c>
      <c r="BI22" s="40"/>
      <c r="BJ22" s="40">
        <f t="shared" si="10"/>
        <v>976971.20000000007</v>
      </c>
      <c r="BL22" s="85">
        <v>46371</v>
      </c>
      <c r="BM22" s="40"/>
      <c r="BN22" s="101"/>
      <c r="BO22" s="40"/>
      <c r="BP22" s="101"/>
      <c r="BQ22" s="40">
        <f t="shared" si="11"/>
        <v>19862625</v>
      </c>
      <c r="BR22" s="40"/>
      <c r="BS22" s="40"/>
      <c r="BT22" s="40">
        <f t="shared" si="12"/>
        <v>19862625</v>
      </c>
      <c r="BV22" s="85">
        <v>46371</v>
      </c>
      <c r="BW22" s="40"/>
      <c r="BX22" s="101"/>
      <c r="BY22" s="40"/>
      <c r="BZ22" s="40"/>
      <c r="CA22" s="40"/>
      <c r="CB22" s="40">
        <f t="shared" si="13"/>
        <v>0</v>
      </c>
      <c r="CD22" s="85">
        <v>46371</v>
      </c>
      <c r="CE22" s="40">
        <v>0</v>
      </c>
      <c r="CG22" s="40">
        <v>4750125</v>
      </c>
      <c r="CH22" s="40">
        <v>0</v>
      </c>
      <c r="CI22" s="40"/>
      <c r="CJ22" s="40">
        <f t="shared" si="14"/>
        <v>4750125</v>
      </c>
      <c r="CL22" s="85">
        <v>46371</v>
      </c>
      <c r="CM22" s="40">
        <v>16325000</v>
      </c>
      <c r="CN22" s="101">
        <v>0.05</v>
      </c>
      <c r="CO22" s="40">
        <v>1320000</v>
      </c>
      <c r="CP22" s="40">
        <v>0</v>
      </c>
      <c r="CQ22" s="40">
        <f t="shared" si="15"/>
        <v>17645000</v>
      </c>
      <c r="CS22" s="85">
        <v>46371</v>
      </c>
      <c r="CT22" s="40">
        <v>0</v>
      </c>
      <c r="CU22" s="40"/>
      <c r="CV22" s="40">
        <v>3425625</v>
      </c>
      <c r="CW22" s="40">
        <v>0</v>
      </c>
      <c r="CX22" s="40">
        <f t="shared" si="16"/>
        <v>3425625</v>
      </c>
      <c r="CZ22" s="85">
        <v>46371</v>
      </c>
      <c r="DA22" s="40">
        <v>0</v>
      </c>
      <c r="DB22" s="40"/>
      <c r="DC22" s="40">
        <v>1655375</v>
      </c>
      <c r="DD22" s="40">
        <f t="shared" si="17"/>
        <v>1655375</v>
      </c>
      <c r="DF22" s="85">
        <v>46371</v>
      </c>
      <c r="DG22" s="40">
        <v>0</v>
      </c>
      <c r="DH22" s="87">
        <v>0</v>
      </c>
      <c r="DI22" s="40">
        <f t="shared" si="36"/>
        <v>0</v>
      </c>
      <c r="DJ22" s="40">
        <f t="shared" si="18"/>
        <v>0</v>
      </c>
      <c r="DL22" s="85">
        <v>46371</v>
      </c>
      <c r="DM22" s="40">
        <v>0</v>
      </c>
      <c r="DN22" s="87"/>
      <c r="DO22" s="40"/>
      <c r="DP22" s="40">
        <v>0</v>
      </c>
      <c r="DQ22" s="40">
        <f t="shared" si="19"/>
        <v>0</v>
      </c>
      <c r="DS22" s="85">
        <v>46371</v>
      </c>
      <c r="DU22" s="87"/>
      <c r="DY22" s="85">
        <v>46371</v>
      </c>
      <c r="DZ22" s="40"/>
      <c r="EA22" s="87"/>
      <c r="EB22" s="40"/>
      <c r="EC22" s="40">
        <v>0</v>
      </c>
      <c r="ED22" s="40">
        <f t="shared" si="20"/>
        <v>0</v>
      </c>
      <c r="EF22" s="85">
        <v>46371</v>
      </c>
      <c r="EG22" s="40"/>
      <c r="EH22" s="87"/>
      <c r="EI22" s="40"/>
      <c r="EJ22" s="40">
        <f t="shared" si="21"/>
        <v>0</v>
      </c>
      <c r="EL22" s="85">
        <v>46371</v>
      </c>
      <c r="EM22" s="40">
        <v>2409290.4</v>
      </c>
      <c r="EN22" s="87"/>
      <c r="EO22" s="40"/>
      <c r="EP22" s="40">
        <v>39230709.600000001</v>
      </c>
      <c r="EQ22" s="40">
        <f t="shared" si="22"/>
        <v>41640000</v>
      </c>
      <c r="ES22" s="85">
        <v>46371</v>
      </c>
      <c r="EU22" s="87"/>
      <c r="EX22" s="40">
        <f t="shared" si="23"/>
        <v>0</v>
      </c>
      <c r="EZ22" s="85">
        <v>46371</v>
      </c>
      <c r="FF22" s="85">
        <v>46371</v>
      </c>
      <c r="FG22" s="40">
        <v>5530000</v>
      </c>
      <c r="FH22" s="87">
        <v>5.5E-2</v>
      </c>
      <c r="FI22" s="40">
        <f t="shared" si="24"/>
        <v>1108800</v>
      </c>
      <c r="FJ22" s="40">
        <f t="shared" si="25"/>
        <v>6638800</v>
      </c>
      <c r="FL22" s="85">
        <v>46371</v>
      </c>
      <c r="FO22" s="40">
        <f t="shared" si="26"/>
        <v>0</v>
      </c>
      <c r="FP22" s="40">
        <f t="shared" si="27"/>
        <v>0</v>
      </c>
      <c r="FR22" s="85">
        <v>46371</v>
      </c>
      <c r="FW22" s="40">
        <f t="shared" si="28"/>
        <v>0</v>
      </c>
      <c r="FY22" s="85">
        <v>46371</v>
      </c>
      <c r="FZ22" s="40"/>
      <c r="GA22" s="87">
        <v>0</v>
      </c>
      <c r="GB22" s="40">
        <v>0</v>
      </c>
      <c r="GC22" s="40">
        <v>0</v>
      </c>
      <c r="GD22" s="40">
        <f t="shared" si="29"/>
        <v>0</v>
      </c>
      <c r="GF22" s="85">
        <v>46371</v>
      </c>
      <c r="GK22" s="40">
        <f t="shared" si="30"/>
        <v>0</v>
      </c>
      <c r="GM22" s="85">
        <v>46371</v>
      </c>
      <c r="GR22" s="40">
        <f t="shared" si="31"/>
        <v>0</v>
      </c>
    </row>
    <row r="23" spans="1:200" x14ac:dyDescent="0.25">
      <c r="A23" s="118">
        <f t="shared" si="37"/>
        <v>47649</v>
      </c>
      <c r="B23" s="85">
        <v>48760</v>
      </c>
      <c r="C23" s="86">
        <f t="shared" si="0"/>
        <v>353757302.5</v>
      </c>
      <c r="D23" s="40">
        <f t="shared" si="1"/>
        <v>0</v>
      </c>
      <c r="F23" s="85">
        <v>46568</v>
      </c>
      <c r="G23" s="85"/>
      <c r="H23" s="85">
        <v>46553</v>
      </c>
      <c r="I23" s="40">
        <f>SUM(Y22,Y23,AG22:AG23,AO22:AO23,AW22:AW23,BE22:BE23,BM22:BM23,BO22:BO23,BW22:BW23,CE22:CE23,CM22:CM23,CT22:CT23,DA22:DA23,DG22:DG23,DM22:DM23,DT22:DT23,DZ22:DZ23,EG22:EG23,EM22:EM23,ET22:ET23,FA22:FA23,FG22:FG23,FM22:FM23,FS22:FS23,FZ22:FZ23,GG22:GG23,GN22:GN23)</f>
        <v>95798847.600000009</v>
      </c>
      <c r="J23" s="40">
        <f>SUM(AA22,AA23,AI22:AI23,AQ22:AQ23,AY22:AY23,BG22:BG23,BQ22:BQ23,BY22:BY23,CG22:CG23,CO22:CO23,CV22:CV23,DC22:DC23,DI22:DI23,DO22:DO23,DV22:DV23,EB22:EB23,EI22:EI23,EO22:EO23,EV22:EV23,FC22:FC23,FI22:FI23,FO22:FO23,FU22:FU23,GB22:GB23,GI22:GI23,GP22:GP23)</f>
        <v>96099899.030000001</v>
      </c>
      <c r="K23" s="40">
        <f>SUM(AB22,AB23,BR22:BR23,BZ22:BZ23,CH22:CH23,CP22:CP23,CW22:CW23,DP22:DP23,EC22:EC23,EP22:EP23,EW22:EW23,FV22:FV23,GC22:GC23,GJ22:GJ23,GQ22:GQ23)</f>
        <v>81366152.400000006</v>
      </c>
      <c r="L23" s="40">
        <f>SUM(AC22,AC23,AS22:AS23,BA22:BA23,BI22:BI23,BS22:BS23,CA22:CA23,CI22:CI23)</f>
        <v>0</v>
      </c>
      <c r="M23" s="40">
        <f>SUM(I23:L23)</f>
        <v>273264899.02999997</v>
      </c>
      <c r="O23" s="85">
        <v>46568</v>
      </c>
      <c r="P23" s="85"/>
      <c r="Q23" s="85">
        <v>46553</v>
      </c>
      <c r="R23" s="40">
        <f t="shared" si="33"/>
        <v>35539557.200000003</v>
      </c>
      <c r="S23" s="40">
        <f t="shared" si="34"/>
        <v>47413948.950000003</v>
      </c>
      <c r="T23" s="40">
        <f t="shared" si="35"/>
        <v>42135442.799999997</v>
      </c>
      <c r="U23" s="40">
        <f t="shared" si="32"/>
        <v>0</v>
      </c>
      <c r="V23" s="40">
        <f t="shared" si="2"/>
        <v>125088948.95</v>
      </c>
      <c r="X23" s="85">
        <v>46553</v>
      </c>
      <c r="Y23" s="40"/>
      <c r="Z23" s="156"/>
      <c r="AA23" s="40">
        <v>12971900</v>
      </c>
      <c r="AB23" s="40">
        <v>0</v>
      </c>
      <c r="AC23" s="40"/>
      <c r="AD23" s="40">
        <f t="shared" si="3"/>
        <v>12971900</v>
      </c>
      <c r="AF23" s="85">
        <v>46553</v>
      </c>
      <c r="AG23" s="40">
        <v>0</v>
      </c>
      <c r="AH23" s="156"/>
      <c r="AI23" s="40">
        <v>0</v>
      </c>
      <c r="AJ23" s="40">
        <v>0</v>
      </c>
      <c r="AK23" s="40"/>
      <c r="AL23" s="40">
        <f t="shared" si="4"/>
        <v>0</v>
      </c>
      <c r="AN23" s="85">
        <v>46553</v>
      </c>
      <c r="AO23" s="40">
        <v>0</v>
      </c>
      <c r="AP23" s="101"/>
      <c r="AQ23" s="40">
        <f t="shared" si="5"/>
        <v>1637750</v>
      </c>
      <c r="AR23" s="40">
        <v>0</v>
      </c>
      <c r="AS23" s="40"/>
      <c r="AT23" s="40">
        <f t="shared" si="6"/>
        <v>1637750</v>
      </c>
      <c r="AV23" s="85">
        <v>46553</v>
      </c>
      <c r="AW23" s="40">
        <v>0</v>
      </c>
      <c r="AX23" s="102"/>
      <c r="AY23" s="40">
        <f t="shared" si="7"/>
        <v>264977.75</v>
      </c>
      <c r="AZ23" s="40">
        <v>0</v>
      </c>
      <c r="BA23" s="40"/>
      <c r="BB23" s="40">
        <f t="shared" si="8"/>
        <v>264977.75</v>
      </c>
      <c r="BD23" s="85">
        <v>46553</v>
      </c>
      <c r="BE23" s="40">
        <v>0</v>
      </c>
      <c r="BF23" s="102"/>
      <c r="BG23" s="40">
        <f t="shared" si="9"/>
        <v>976971.20000000007</v>
      </c>
      <c r="BH23" s="40">
        <v>0</v>
      </c>
      <c r="BI23" s="40"/>
      <c r="BJ23" s="40">
        <f t="shared" si="10"/>
        <v>976971.20000000007</v>
      </c>
      <c r="BL23" s="85">
        <v>46553</v>
      </c>
      <c r="BM23" s="40"/>
      <c r="BN23" s="101"/>
      <c r="BO23" s="40"/>
      <c r="BP23" s="101"/>
      <c r="BQ23" s="40">
        <f t="shared" si="11"/>
        <v>19862625</v>
      </c>
      <c r="BR23" s="40"/>
      <c r="BS23" s="40"/>
      <c r="BT23" s="40">
        <f t="shared" si="12"/>
        <v>19862625</v>
      </c>
      <c r="BV23" s="85">
        <v>46553</v>
      </c>
      <c r="BW23" s="40"/>
      <c r="BX23" s="101"/>
      <c r="BY23" s="40"/>
      <c r="BZ23" s="40"/>
      <c r="CA23" s="40"/>
      <c r="CB23" s="40">
        <f t="shared" si="13"/>
        <v>0</v>
      </c>
      <c r="CD23" s="85">
        <v>46553</v>
      </c>
      <c r="CE23" s="40">
        <v>0</v>
      </c>
      <c r="CG23" s="40">
        <v>4750125</v>
      </c>
      <c r="CH23" s="40">
        <v>0</v>
      </c>
      <c r="CI23" s="40"/>
      <c r="CJ23" s="40">
        <f t="shared" si="14"/>
        <v>4750125</v>
      </c>
      <c r="CL23" s="85">
        <v>46553</v>
      </c>
      <c r="CM23" s="40">
        <v>0</v>
      </c>
      <c r="CN23" s="101"/>
      <c r="CO23" s="40">
        <v>911875</v>
      </c>
      <c r="CP23" s="40">
        <v>0</v>
      </c>
      <c r="CQ23" s="40">
        <f t="shared" si="15"/>
        <v>911875</v>
      </c>
      <c r="CS23" s="85">
        <v>46553</v>
      </c>
      <c r="CT23" s="40">
        <v>0</v>
      </c>
      <c r="CU23" s="40"/>
      <c r="CV23" s="40">
        <v>3425625</v>
      </c>
      <c r="CW23" s="40">
        <v>0</v>
      </c>
      <c r="CX23" s="40">
        <f t="shared" si="16"/>
        <v>3425625</v>
      </c>
      <c r="CZ23" s="85">
        <v>46553</v>
      </c>
      <c r="DA23" s="40">
        <v>0</v>
      </c>
      <c r="DB23" s="40"/>
      <c r="DC23" s="40">
        <v>1655375</v>
      </c>
      <c r="DD23" s="40">
        <f t="shared" si="17"/>
        <v>1655375</v>
      </c>
      <c r="DF23" s="85">
        <v>46553</v>
      </c>
      <c r="DG23" s="40">
        <v>0</v>
      </c>
      <c r="DH23" s="87">
        <v>0</v>
      </c>
      <c r="DI23" s="40">
        <f t="shared" si="36"/>
        <v>0</v>
      </c>
      <c r="DJ23" s="40">
        <f t="shared" si="18"/>
        <v>0</v>
      </c>
      <c r="DL23" s="85">
        <v>46553</v>
      </c>
      <c r="DM23" s="40">
        <v>0</v>
      </c>
      <c r="DN23" s="87">
        <v>0</v>
      </c>
      <c r="DO23" s="40"/>
      <c r="DP23" s="40">
        <v>0</v>
      </c>
      <c r="DQ23" s="40">
        <f t="shared" si="19"/>
        <v>0</v>
      </c>
      <c r="DS23" s="85">
        <v>46553</v>
      </c>
      <c r="DU23" s="87"/>
      <c r="DY23" s="85">
        <v>46553</v>
      </c>
      <c r="DZ23" s="40">
        <v>24622709.199999999</v>
      </c>
      <c r="EA23" s="87">
        <v>5.8299999999999998E-2</v>
      </c>
      <c r="EB23" s="40"/>
      <c r="EC23" s="40">
        <v>39512290.799999997</v>
      </c>
      <c r="ED23" s="40">
        <f t="shared" si="20"/>
        <v>64135000</v>
      </c>
      <c r="EF23" s="85">
        <v>46553</v>
      </c>
      <c r="EG23" s="40"/>
      <c r="EH23" s="87"/>
      <c r="EI23" s="40"/>
      <c r="EJ23" s="40">
        <f t="shared" si="21"/>
        <v>0</v>
      </c>
      <c r="EL23" s="85">
        <v>46553</v>
      </c>
      <c r="EM23" s="40">
        <v>0</v>
      </c>
      <c r="EN23" s="87"/>
      <c r="EO23" s="40"/>
      <c r="EP23" s="40">
        <v>0</v>
      </c>
      <c r="EQ23" s="40">
        <f t="shared" si="22"/>
        <v>0</v>
      </c>
      <c r="ES23" s="85">
        <v>46553</v>
      </c>
      <c r="EU23" s="87"/>
      <c r="EX23" s="40">
        <f t="shared" si="23"/>
        <v>0</v>
      </c>
      <c r="EZ23" s="85">
        <v>46553</v>
      </c>
      <c r="FF23" s="85">
        <v>46553</v>
      </c>
      <c r="FG23" s="40">
        <v>10580000</v>
      </c>
      <c r="FH23" s="87">
        <v>5.5E-2</v>
      </c>
      <c r="FI23" s="40">
        <f t="shared" si="24"/>
        <v>956725</v>
      </c>
      <c r="FJ23" s="40">
        <f t="shared" si="25"/>
        <v>11536725</v>
      </c>
      <c r="FL23" s="85">
        <v>46553</v>
      </c>
      <c r="FO23" s="40">
        <f t="shared" si="26"/>
        <v>0</v>
      </c>
      <c r="FP23" s="40">
        <f t="shared" si="27"/>
        <v>0</v>
      </c>
      <c r="FR23" s="85">
        <v>46553</v>
      </c>
      <c r="FW23" s="40">
        <f t="shared" si="28"/>
        <v>0</v>
      </c>
      <c r="FY23" s="85">
        <v>46553</v>
      </c>
      <c r="FZ23" s="40">
        <v>336848</v>
      </c>
      <c r="GA23" s="87">
        <v>6.7000000000000004E-2</v>
      </c>
      <c r="GB23" s="40">
        <v>0</v>
      </c>
      <c r="GC23" s="40">
        <v>2623152</v>
      </c>
      <c r="GD23" s="40">
        <f t="shared" si="29"/>
        <v>2960000</v>
      </c>
      <c r="GF23" s="85">
        <v>46553</v>
      </c>
      <c r="GK23" s="40">
        <f t="shared" si="30"/>
        <v>0</v>
      </c>
      <c r="GM23" s="85">
        <v>46553</v>
      </c>
      <c r="GR23" s="40">
        <f t="shared" si="31"/>
        <v>0</v>
      </c>
    </row>
    <row r="24" spans="1:200" x14ac:dyDescent="0.25">
      <c r="A24" s="118">
        <f t="shared" si="37"/>
        <v>48014</v>
      </c>
      <c r="B24" s="85">
        <v>49125</v>
      </c>
      <c r="C24" s="86">
        <f t="shared" si="0"/>
        <v>353744927.5</v>
      </c>
      <c r="D24" s="40">
        <f t="shared" si="1"/>
        <v>0</v>
      </c>
      <c r="F24" s="85">
        <v>46752</v>
      </c>
      <c r="G24" s="85"/>
      <c r="H24" s="85">
        <v>46736</v>
      </c>
      <c r="I24" s="40"/>
      <c r="O24" s="85">
        <v>46752</v>
      </c>
      <c r="P24" s="85"/>
      <c r="Q24" s="85">
        <v>46736</v>
      </c>
      <c r="R24" s="40">
        <f t="shared" si="33"/>
        <v>39340000</v>
      </c>
      <c r="S24" s="40">
        <f t="shared" si="34"/>
        <v>47122998.950000003</v>
      </c>
      <c r="T24" s="40">
        <f t="shared" si="35"/>
        <v>0</v>
      </c>
      <c r="U24" s="40">
        <f t="shared" si="32"/>
        <v>0</v>
      </c>
      <c r="V24" s="40">
        <f t="shared" si="2"/>
        <v>86462998.950000003</v>
      </c>
      <c r="X24" s="85">
        <v>46736</v>
      </c>
      <c r="Y24" s="40"/>
      <c r="Z24" s="156"/>
      <c r="AA24" s="40">
        <v>12971900</v>
      </c>
      <c r="AB24" s="40">
        <v>0</v>
      </c>
      <c r="AC24" s="40"/>
      <c r="AD24" s="40">
        <f t="shared" si="3"/>
        <v>12971900</v>
      </c>
      <c r="AF24" s="85">
        <v>46736</v>
      </c>
      <c r="AG24" s="40">
        <v>0</v>
      </c>
      <c r="AH24" s="156"/>
      <c r="AI24" s="40">
        <v>0</v>
      </c>
      <c r="AJ24" s="40">
        <v>0</v>
      </c>
      <c r="AK24" s="40"/>
      <c r="AL24" s="40">
        <f t="shared" si="4"/>
        <v>0</v>
      </c>
      <c r="AN24" s="85">
        <v>46736</v>
      </c>
      <c r="AO24" s="40">
        <v>0</v>
      </c>
      <c r="AP24" s="101"/>
      <c r="AQ24" s="40">
        <f t="shared" si="5"/>
        <v>1637750</v>
      </c>
      <c r="AR24" s="40">
        <v>0</v>
      </c>
      <c r="AS24" s="40"/>
      <c r="AT24" s="40">
        <f t="shared" si="6"/>
        <v>1637750</v>
      </c>
      <c r="AV24" s="85">
        <v>46736</v>
      </c>
      <c r="AW24" s="40">
        <v>12910000</v>
      </c>
      <c r="AX24" s="102">
        <v>4.1050000000000003E-2</v>
      </c>
      <c r="AY24" s="40">
        <f t="shared" si="7"/>
        <v>264977.75</v>
      </c>
      <c r="AZ24" s="40">
        <v>0</v>
      </c>
      <c r="BA24" s="40"/>
      <c r="BB24" s="40">
        <f t="shared" si="8"/>
        <v>13174977.75</v>
      </c>
      <c r="BD24" s="85">
        <v>46736</v>
      </c>
      <c r="BE24" s="40">
        <v>18715000</v>
      </c>
      <c r="BF24" s="102">
        <v>4.1050000000000003E-2</v>
      </c>
      <c r="BG24" s="40">
        <f>BE24*BF24/2+BG25-0.005</f>
        <v>976971.20000000007</v>
      </c>
      <c r="BH24" s="40">
        <v>0</v>
      </c>
      <c r="BI24" s="40"/>
      <c r="BJ24" s="40">
        <f t="shared" si="10"/>
        <v>19691971.199999999</v>
      </c>
      <c r="BL24" s="85">
        <v>46736</v>
      </c>
      <c r="BM24" s="40"/>
      <c r="BN24" s="101"/>
      <c r="BO24" s="40"/>
      <c r="BP24" s="101"/>
      <c r="BQ24" s="40">
        <f t="shared" si="11"/>
        <v>19862625</v>
      </c>
      <c r="BR24" s="40"/>
      <c r="BS24" s="40"/>
      <c r="BT24" s="40">
        <f t="shared" si="12"/>
        <v>19862625</v>
      </c>
      <c r="BV24" s="85">
        <v>46736</v>
      </c>
      <c r="BW24" s="40"/>
      <c r="BX24" s="101"/>
      <c r="BY24" s="40"/>
      <c r="BZ24" s="40"/>
      <c r="CA24" s="40"/>
      <c r="CB24" s="40">
        <f t="shared" si="13"/>
        <v>0</v>
      </c>
      <c r="CD24" s="85">
        <v>46736</v>
      </c>
      <c r="CE24" s="40">
        <v>0</v>
      </c>
      <c r="CG24" s="40">
        <v>4750125</v>
      </c>
      <c r="CH24" s="40">
        <v>0</v>
      </c>
      <c r="CI24" s="40"/>
      <c r="CJ24" s="40">
        <f t="shared" si="14"/>
        <v>4750125</v>
      </c>
      <c r="CL24" s="85">
        <v>46736</v>
      </c>
      <c r="CM24" s="40">
        <v>1880000</v>
      </c>
      <c r="CN24" s="101">
        <v>0.05</v>
      </c>
      <c r="CO24" s="40">
        <v>911875</v>
      </c>
      <c r="CP24" s="40">
        <v>0</v>
      </c>
      <c r="CQ24" s="40">
        <f t="shared" si="15"/>
        <v>2791875</v>
      </c>
      <c r="CS24" s="85">
        <v>46736</v>
      </c>
      <c r="CT24" s="40">
        <v>0</v>
      </c>
      <c r="CU24" s="40"/>
      <c r="CV24" s="40">
        <v>3425625</v>
      </c>
      <c r="CW24" s="40">
        <v>0</v>
      </c>
      <c r="CX24" s="40">
        <f t="shared" si="16"/>
        <v>3425625</v>
      </c>
      <c r="CZ24" s="85">
        <v>46736</v>
      </c>
      <c r="DA24" s="40">
        <v>0</v>
      </c>
      <c r="DB24" s="40"/>
      <c r="DC24" s="40">
        <v>1655375</v>
      </c>
      <c r="DD24" s="40">
        <f t="shared" si="17"/>
        <v>1655375</v>
      </c>
      <c r="DF24" s="85">
        <v>46736</v>
      </c>
      <c r="DG24" s="40">
        <v>0</v>
      </c>
      <c r="DH24" s="87">
        <v>0</v>
      </c>
      <c r="DI24" s="40">
        <f t="shared" si="36"/>
        <v>0</v>
      </c>
      <c r="DJ24" s="40">
        <f t="shared" si="18"/>
        <v>0</v>
      </c>
      <c r="DL24" s="85">
        <v>46736</v>
      </c>
      <c r="DM24" s="40">
        <v>0</v>
      </c>
      <c r="DN24" s="87"/>
      <c r="DO24" s="40"/>
      <c r="DP24" s="40">
        <v>0</v>
      </c>
      <c r="DQ24" s="40">
        <f t="shared" si="19"/>
        <v>0</v>
      </c>
      <c r="DS24" s="85">
        <v>46736</v>
      </c>
      <c r="DU24" s="87"/>
      <c r="DY24" s="85">
        <v>46736</v>
      </c>
      <c r="DZ24" s="40"/>
      <c r="EA24" s="87"/>
      <c r="EB24" s="40"/>
      <c r="EC24" s="40">
        <v>0</v>
      </c>
      <c r="ED24" s="40">
        <f t="shared" si="20"/>
        <v>0</v>
      </c>
      <c r="EF24" s="85">
        <v>46736</v>
      </c>
      <c r="EG24" s="40"/>
      <c r="EH24" s="87"/>
      <c r="EI24" s="40"/>
      <c r="EJ24" s="40">
        <f t="shared" si="21"/>
        <v>0</v>
      </c>
      <c r="EL24" s="85">
        <v>46736</v>
      </c>
      <c r="EM24" s="40"/>
      <c r="EN24" s="87"/>
      <c r="EO24" s="40">
        <v>0</v>
      </c>
      <c r="EP24" s="40">
        <v>0</v>
      </c>
      <c r="EQ24" s="40">
        <f t="shared" si="22"/>
        <v>0</v>
      </c>
      <c r="ES24" s="85">
        <v>46736</v>
      </c>
      <c r="EU24" s="87"/>
      <c r="EX24" s="40">
        <f t="shared" si="23"/>
        <v>0</v>
      </c>
      <c r="EZ24" s="85">
        <v>46736</v>
      </c>
      <c r="FF24" s="85">
        <v>46736</v>
      </c>
      <c r="FG24" s="40">
        <v>5835000</v>
      </c>
      <c r="FH24" s="87">
        <v>5.5E-2</v>
      </c>
      <c r="FI24" s="40">
        <f t="shared" si="24"/>
        <v>665775</v>
      </c>
      <c r="FJ24" s="40">
        <f t="shared" si="25"/>
        <v>6500775</v>
      </c>
      <c r="FL24" s="85">
        <v>46736</v>
      </c>
      <c r="FO24" s="40">
        <f t="shared" si="26"/>
        <v>0</v>
      </c>
      <c r="FP24" s="40">
        <f t="shared" si="27"/>
        <v>0</v>
      </c>
      <c r="FR24" s="85">
        <v>46736</v>
      </c>
      <c r="FW24" s="40">
        <f t="shared" si="28"/>
        <v>0</v>
      </c>
      <c r="FY24" s="85">
        <v>46736</v>
      </c>
      <c r="FZ24" s="40"/>
      <c r="GA24" s="87">
        <v>0</v>
      </c>
      <c r="GB24" s="40">
        <v>0</v>
      </c>
      <c r="GC24" s="40">
        <v>0</v>
      </c>
      <c r="GD24" s="40">
        <f t="shared" si="29"/>
        <v>0</v>
      </c>
      <c r="GF24" s="85">
        <v>46736</v>
      </c>
      <c r="GK24" s="40">
        <f t="shared" si="30"/>
        <v>0</v>
      </c>
      <c r="GM24" s="85">
        <v>46736</v>
      </c>
      <c r="GR24" s="40">
        <f t="shared" si="31"/>
        <v>0</v>
      </c>
    </row>
    <row r="25" spans="1:200" x14ac:dyDescent="0.25">
      <c r="A25" s="118">
        <f t="shared" si="37"/>
        <v>48380</v>
      </c>
      <c r="B25" s="85">
        <v>49490</v>
      </c>
      <c r="C25" s="86">
        <f t="shared" si="0"/>
        <v>353755302.5</v>
      </c>
      <c r="D25" s="40">
        <f t="shared" si="1"/>
        <v>0</v>
      </c>
      <c r="F25" s="85">
        <v>46934</v>
      </c>
      <c r="G25" s="85"/>
      <c r="H25" s="85">
        <v>46919</v>
      </c>
      <c r="I25" s="40">
        <f>SUM(Y24,Y25,AG24:AG25,AO24:AO25,AW24:AW25,BE24:BE25,BM24:BM25,BO24:BO25,BW24:BW25,CE24:CE25,CM24:CM25,CT24:CT25,DA24:DA25,DG24:DG25,DM24:DM25,DT24:DT25,DZ24:DZ25,EG24:EG25,EM24:EM25,ET24:ET25,FA24:FA25,FG24:FG25,FM24:FM25,FS24:FS25,FZ24:FZ25,GG24:GG25,GN24:GN25)</f>
        <v>55242687.299999997</v>
      </c>
      <c r="J25" s="40">
        <f>SUM(AA24,AA25,AI24:AI25,AQ24:AQ25,AY24:AY25,BG24:BG25,BQ24:BQ25,BY24:BY25,CG24:CG25,CO24:CO25,CV24:CV25,DC24:DC25,DI24:DI25,DO24:DO25,DV24:DV25,EB24:EB25,EI24:EI25,EO24:EO25,EV24:EV25,FC24:FC25,FI24:FI25,FO24:FO25,FU24:FU25,GB24:GB25,GI24:GI25,GP24:GP25)</f>
        <v>93389432.280000001</v>
      </c>
      <c r="K25" s="40">
        <f>SUM(AB24,AB25,BR24:BR25,BZ24:BZ25,CH24:CH25,CP24:CP25,CW24:CW25,DP24:DP25,EC24:EC25,EP24:EP25,EW24:EW25,FV24:FV25,GC24:GC25,GJ24:GJ25,GQ24:GQ25)</f>
        <v>83087312.700000003</v>
      </c>
      <c r="L25" s="40">
        <f>SUM(AC24,AC25,AS24:AS25,BA24:BA25,BI24:BI25,BS24:BS25,CA24:CA25,CI24:CI25)</f>
        <v>0</v>
      </c>
      <c r="M25" s="40">
        <f>SUM(I25:L25)</f>
        <v>231719432.27999997</v>
      </c>
      <c r="O25" s="85">
        <v>46934</v>
      </c>
      <c r="P25" s="85"/>
      <c r="Q25" s="85">
        <v>46919</v>
      </c>
      <c r="R25" s="40">
        <f t="shared" si="33"/>
        <v>15902687.300000001</v>
      </c>
      <c r="S25" s="40">
        <f t="shared" si="34"/>
        <v>46266433.329999998</v>
      </c>
      <c r="T25" s="40">
        <f t="shared" si="35"/>
        <v>83087312.700000003</v>
      </c>
      <c r="U25" s="40">
        <f t="shared" si="32"/>
        <v>0</v>
      </c>
      <c r="V25" s="40">
        <f t="shared" si="2"/>
        <v>145256433.32999998</v>
      </c>
      <c r="X25" s="85">
        <v>46919</v>
      </c>
      <c r="Y25" s="40"/>
      <c r="Z25" s="101"/>
      <c r="AA25" s="40">
        <v>12971900</v>
      </c>
      <c r="AB25" s="40">
        <v>0</v>
      </c>
      <c r="AC25" s="40"/>
      <c r="AD25" s="40">
        <f t="shared" si="3"/>
        <v>12971900</v>
      </c>
      <c r="AF25" s="85">
        <v>46919</v>
      </c>
      <c r="AG25" s="40"/>
      <c r="AH25" s="101"/>
      <c r="AI25" s="40">
        <v>0</v>
      </c>
      <c r="AJ25" s="40">
        <v>0</v>
      </c>
      <c r="AK25" s="40"/>
      <c r="AL25" s="40">
        <f t="shared" si="4"/>
        <v>0</v>
      </c>
      <c r="AN25" s="85">
        <v>46919</v>
      </c>
      <c r="AO25" s="40">
        <v>0</v>
      </c>
      <c r="AP25" s="101"/>
      <c r="AQ25" s="40">
        <f t="shared" si="5"/>
        <v>1637750</v>
      </c>
      <c r="AR25" s="40">
        <v>0</v>
      </c>
      <c r="AS25" s="40"/>
      <c r="AT25" s="40">
        <f t="shared" si="6"/>
        <v>1637750</v>
      </c>
      <c r="AV25" s="85">
        <v>46919</v>
      </c>
      <c r="AW25" s="40">
        <v>0</v>
      </c>
      <c r="AX25" s="102"/>
      <c r="AY25" s="40">
        <f t="shared" si="7"/>
        <v>0</v>
      </c>
      <c r="AZ25" s="40">
        <v>0</v>
      </c>
      <c r="BA25" s="40"/>
      <c r="BB25" s="40">
        <f t="shared" si="8"/>
        <v>0</v>
      </c>
      <c r="BD25" s="85">
        <v>46919</v>
      </c>
      <c r="BE25" s="40">
        <v>0</v>
      </c>
      <c r="BF25" s="102"/>
      <c r="BG25" s="40">
        <f>BE25*BF25/2+BG26</f>
        <v>592845.82999999996</v>
      </c>
      <c r="BH25" s="40">
        <v>0</v>
      </c>
      <c r="BI25" s="40"/>
      <c r="BJ25" s="40">
        <f t="shared" si="10"/>
        <v>592845.82999999996</v>
      </c>
      <c r="BL25" s="85">
        <v>46919</v>
      </c>
      <c r="BM25" s="40"/>
      <c r="BN25" s="101"/>
      <c r="BO25" s="40"/>
      <c r="BP25" s="101"/>
      <c r="BQ25" s="40">
        <f t="shared" si="11"/>
        <v>19862625</v>
      </c>
      <c r="BR25" s="40"/>
      <c r="BS25" s="40"/>
      <c r="BT25" s="40">
        <f t="shared" si="12"/>
        <v>19862625</v>
      </c>
      <c r="BV25" s="85">
        <v>46919</v>
      </c>
      <c r="BW25" s="40"/>
      <c r="BX25" s="101"/>
      <c r="BY25" s="40"/>
      <c r="BZ25" s="40"/>
      <c r="CA25" s="40"/>
      <c r="CB25" s="40">
        <f t="shared" si="13"/>
        <v>0</v>
      </c>
      <c r="CD25" s="85">
        <v>46919</v>
      </c>
      <c r="CE25" s="40">
        <v>0</v>
      </c>
      <c r="CG25" s="40">
        <v>4750125</v>
      </c>
      <c r="CH25" s="40">
        <v>0</v>
      </c>
      <c r="CI25" s="40"/>
      <c r="CJ25" s="40">
        <f t="shared" si="14"/>
        <v>4750125</v>
      </c>
      <c r="CL25" s="85">
        <v>46919</v>
      </c>
      <c r="CM25" s="40">
        <v>0</v>
      </c>
      <c r="CN25" s="101"/>
      <c r="CO25" s="40">
        <v>864875</v>
      </c>
      <c r="CP25" s="40">
        <v>0</v>
      </c>
      <c r="CQ25" s="40">
        <f t="shared" si="15"/>
        <v>864875</v>
      </c>
      <c r="CS25" s="85">
        <v>46919</v>
      </c>
      <c r="CT25" s="40">
        <v>0</v>
      </c>
      <c r="CU25" s="40"/>
      <c r="CV25" s="40">
        <v>3425625</v>
      </c>
      <c r="CW25" s="40">
        <v>0</v>
      </c>
      <c r="CX25" s="40">
        <f t="shared" si="16"/>
        <v>3425625</v>
      </c>
      <c r="CZ25" s="85">
        <v>46919</v>
      </c>
      <c r="DA25" s="40">
        <v>0</v>
      </c>
      <c r="DB25" s="40"/>
      <c r="DC25" s="40">
        <v>1655375</v>
      </c>
      <c r="DD25" s="40">
        <f t="shared" si="17"/>
        <v>1655375</v>
      </c>
      <c r="DF25" s="85">
        <v>46919</v>
      </c>
      <c r="DG25" s="40">
        <v>0</v>
      </c>
      <c r="DH25" s="87">
        <v>0</v>
      </c>
      <c r="DI25" s="40">
        <f t="shared" si="36"/>
        <v>0</v>
      </c>
      <c r="DJ25" s="40">
        <f t="shared" si="18"/>
        <v>0</v>
      </c>
      <c r="DL25" s="85">
        <v>46919</v>
      </c>
      <c r="DM25" s="40">
        <v>0</v>
      </c>
      <c r="DN25" s="87">
        <v>0</v>
      </c>
      <c r="DO25" s="40"/>
      <c r="DP25" s="40">
        <v>0</v>
      </c>
      <c r="DQ25" s="40">
        <f t="shared" si="19"/>
        <v>0</v>
      </c>
      <c r="DS25" s="85">
        <v>46919</v>
      </c>
      <c r="DU25" s="87"/>
      <c r="DY25" s="85">
        <v>46919</v>
      </c>
      <c r="DZ25" s="40"/>
      <c r="EA25" s="87"/>
      <c r="EB25" s="40"/>
      <c r="EC25" s="40">
        <v>0</v>
      </c>
      <c r="ED25" s="40">
        <f t="shared" si="20"/>
        <v>0</v>
      </c>
      <c r="EF25" s="85">
        <v>46919</v>
      </c>
      <c r="EG25" s="40"/>
      <c r="EH25" s="87"/>
      <c r="EI25" s="40"/>
      <c r="EJ25" s="40">
        <f t="shared" si="21"/>
        <v>0</v>
      </c>
      <c r="EL25" s="85">
        <v>46919</v>
      </c>
      <c r="EM25" s="40"/>
      <c r="EN25" s="87"/>
      <c r="EO25" s="40">
        <v>0</v>
      </c>
      <c r="EP25" s="40">
        <v>0</v>
      </c>
      <c r="EQ25" s="40">
        <f t="shared" si="22"/>
        <v>0</v>
      </c>
      <c r="ES25" s="85">
        <v>46919</v>
      </c>
      <c r="EU25" s="87"/>
      <c r="EX25" s="40">
        <f t="shared" si="23"/>
        <v>0</v>
      </c>
      <c r="EZ25" s="85">
        <v>46919</v>
      </c>
      <c r="FF25" s="85">
        <v>46919</v>
      </c>
      <c r="FG25" s="40">
        <v>5995000</v>
      </c>
      <c r="FH25" s="87">
        <v>5.5E-2</v>
      </c>
      <c r="FI25" s="40">
        <f t="shared" si="24"/>
        <v>505312.5</v>
      </c>
      <c r="FJ25" s="40">
        <f t="shared" si="25"/>
        <v>6500312.5</v>
      </c>
      <c r="FL25" s="85">
        <v>46919</v>
      </c>
      <c r="FO25" s="40">
        <f t="shared" si="26"/>
        <v>0</v>
      </c>
      <c r="FP25" s="40">
        <f t="shared" si="27"/>
        <v>0</v>
      </c>
      <c r="FR25" s="85">
        <v>46919</v>
      </c>
      <c r="FW25" s="40">
        <f t="shared" si="28"/>
        <v>0</v>
      </c>
      <c r="FY25" s="85">
        <v>46919</v>
      </c>
      <c r="FZ25" s="40">
        <v>9907687.3000000007</v>
      </c>
      <c r="GA25" s="87">
        <v>6.7000000000000004E-2</v>
      </c>
      <c r="GB25" s="40">
        <v>0</v>
      </c>
      <c r="GC25" s="40">
        <v>83087312.700000003</v>
      </c>
      <c r="GD25" s="40">
        <f t="shared" si="29"/>
        <v>92995000</v>
      </c>
      <c r="GF25" s="85">
        <v>46919</v>
      </c>
      <c r="GK25" s="40">
        <f t="shared" si="30"/>
        <v>0</v>
      </c>
      <c r="GM25" s="85">
        <v>46919</v>
      </c>
      <c r="GR25" s="40">
        <f t="shared" si="31"/>
        <v>0</v>
      </c>
    </row>
    <row r="26" spans="1:200" x14ac:dyDescent="0.25">
      <c r="A26" s="118">
        <f t="shared" si="37"/>
        <v>48745</v>
      </c>
      <c r="B26" s="85">
        <v>49856</v>
      </c>
      <c r="C26" s="86">
        <f t="shared" si="0"/>
        <v>382572760</v>
      </c>
      <c r="D26" s="40">
        <f t="shared" si="1"/>
        <v>0</v>
      </c>
      <c r="F26" s="85">
        <v>47118</v>
      </c>
      <c r="G26" s="85"/>
      <c r="H26" s="85">
        <v>47102</v>
      </c>
      <c r="I26" s="40"/>
      <c r="O26" s="85">
        <v>47118</v>
      </c>
      <c r="P26" s="85"/>
      <c r="Q26" s="85">
        <v>47102</v>
      </c>
      <c r="R26" s="40">
        <f t="shared" si="33"/>
        <v>51235000</v>
      </c>
      <c r="S26" s="40">
        <f t="shared" si="34"/>
        <v>46101570.829999998</v>
      </c>
      <c r="T26" s="40">
        <f t="shared" si="35"/>
        <v>0</v>
      </c>
      <c r="U26" s="40">
        <f t="shared" si="32"/>
        <v>0</v>
      </c>
      <c r="V26" s="40">
        <f t="shared" si="2"/>
        <v>97336570.829999998</v>
      </c>
      <c r="X26" s="85">
        <v>47102</v>
      </c>
      <c r="Y26" s="40"/>
      <c r="Z26" s="156"/>
      <c r="AA26" s="40">
        <v>12971900</v>
      </c>
      <c r="AB26" s="40">
        <v>0</v>
      </c>
      <c r="AC26" s="40"/>
      <c r="AD26" s="40">
        <f t="shared" si="3"/>
        <v>12971900</v>
      </c>
      <c r="AF26" s="85">
        <v>47102</v>
      </c>
      <c r="AG26" s="40">
        <v>0</v>
      </c>
      <c r="AH26" s="156"/>
      <c r="AI26" s="40">
        <v>0</v>
      </c>
      <c r="AJ26" s="40">
        <v>0</v>
      </c>
      <c r="AK26" s="40"/>
      <c r="AL26" s="40">
        <f t="shared" si="4"/>
        <v>0</v>
      </c>
      <c r="AN26" s="85">
        <v>47102</v>
      </c>
      <c r="AO26" s="40">
        <v>0</v>
      </c>
      <c r="AP26" s="101"/>
      <c r="AQ26" s="40">
        <f t="shared" si="5"/>
        <v>1637750</v>
      </c>
      <c r="AR26" s="40">
        <v>0</v>
      </c>
      <c r="AS26" s="40"/>
      <c r="AT26" s="40">
        <f t="shared" si="6"/>
        <v>1637750</v>
      </c>
      <c r="AV26" s="85">
        <v>47102</v>
      </c>
      <c r="AW26" s="40">
        <v>0</v>
      </c>
      <c r="AX26" s="102"/>
      <c r="AY26" s="40">
        <f t="shared" si="7"/>
        <v>0</v>
      </c>
      <c r="AZ26" s="40">
        <v>0</v>
      </c>
      <c r="BA26" s="40"/>
      <c r="BB26" s="40">
        <f t="shared" si="8"/>
        <v>0</v>
      </c>
      <c r="BD26" s="85">
        <v>47102</v>
      </c>
      <c r="BE26" s="40">
        <v>27555000</v>
      </c>
      <c r="BF26" s="102">
        <v>4.3029999999999999E-2</v>
      </c>
      <c r="BG26" s="40">
        <f>BE26*BF26/2+BG27+0.005</f>
        <v>592845.82999999996</v>
      </c>
      <c r="BH26" s="40">
        <v>0</v>
      </c>
      <c r="BI26" s="40"/>
      <c r="BJ26" s="40">
        <f t="shared" si="10"/>
        <v>28147845.829999998</v>
      </c>
      <c r="BL26" s="85">
        <v>47102</v>
      </c>
      <c r="BM26" s="40"/>
      <c r="BN26" s="101"/>
      <c r="BO26" s="40"/>
      <c r="BP26" s="101"/>
      <c r="BQ26" s="40">
        <f t="shared" si="11"/>
        <v>19862625</v>
      </c>
      <c r="BR26" s="40"/>
      <c r="BS26" s="40"/>
      <c r="BT26" s="40">
        <f t="shared" si="12"/>
        <v>19862625</v>
      </c>
      <c r="BV26" s="85">
        <v>47102</v>
      </c>
      <c r="BW26" s="40"/>
      <c r="BX26" s="101"/>
      <c r="BY26" s="40"/>
      <c r="BZ26" s="40"/>
      <c r="CA26" s="40"/>
      <c r="CB26" s="40">
        <f t="shared" si="13"/>
        <v>0</v>
      </c>
      <c r="CD26" s="85">
        <v>47102</v>
      </c>
      <c r="CE26" s="40">
        <v>0</v>
      </c>
      <c r="CG26" s="40">
        <v>4750125</v>
      </c>
      <c r="CH26" s="40">
        <v>0</v>
      </c>
      <c r="CI26" s="40"/>
      <c r="CJ26" s="40">
        <f t="shared" si="14"/>
        <v>4750125</v>
      </c>
      <c r="CL26" s="85">
        <v>47102</v>
      </c>
      <c r="CM26" s="40">
        <v>17520000</v>
      </c>
      <c r="CN26" s="101">
        <v>0.05</v>
      </c>
      <c r="CO26" s="40">
        <v>864875</v>
      </c>
      <c r="CP26" s="40">
        <v>0</v>
      </c>
      <c r="CQ26" s="40">
        <f t="shared" si="15"/>
        <v>18384875</v>
      </c>
      <c r="CS26" s="85">
        <v>47102</v>
      </c>
      <c r="CT26" s="40">
        <v>0</v>
      </c>
      <c r="CU26" s="40"/>
      <c r="CV26" s="40">
        <v>3425625</v>
      </c>
      <c r="CW26" s="40">
        <v>0</v>
      </c>
      <c r="CX26" s="40">
        <f t="shared" si="16"/>
        <v>3425625</v>
      </c>
      <c r="CZ26" s="85">
        <v>47102</v>
      </c>
      <c r="DA26" s="40">
        <v>0</v>
      </c>
      <c r="DB26" s="40"/>
      <c r="DC26" s="40">
        <v>1655375</v>
      </c>
      <c r="DD26" s="40">
        <f t="shared" si="17"/>
        <v>1655375</v>
      </c>
      <c r="DF26" s="85">
        <v>47102</v>
      </c>
      <c r="DG26" s="40">
        <v>0</v>
      </c>
      <c r="DH26" s="87">
        <v>0</v>
      </c>
      <c r="DI26" s="40">
        <f t="shared" si="36"/>
        <v>0</v>
      </c>
      <c r="DJ26" s="40">
        <f t="shared" si="18"/>
        <v>0</v>
      </c>
      <c r="DL26" s="85">
        <v>47102</v>
      </c>
      <c r="DM26" s="40">
        <v>0</v>
      </c>
      <c r="DN26" s="87"/>
      <c r="DO26" s="40"/>
      <c r="DP26" s="40">
        <v>0</v>
      </c>
      <c r="DQ26" s="40">
        <f t="shared" si="19"/>
        <v>0</v>
      </c>
      <c r="DS26" s="85">
        <v>47102</v>
      </c>
      <c r="DU26" s="87"/>
      <c r="DY26" s="85">
        <v>47102</v>
      </c>
      <c r="DZ26" s="40"/>
      <c r="EA26" s="87"/>
      <c r="EB26" s="40"/>
      <c r="EC26" s="40">
        <v>0</v>
      </c>
      <c r="ED26" s="40">
        <f t="shared" si="20"/>
        <v>0</v>
      </c>
      <c r="EF26" s="85">
        <v>47102</v>
      </c>
      <c r="EG26" s="40"/>
      <c r="EH26" s="87"/>
      <c r="EI26" s="40"/>
      <c r="EJ26" s="40">
        <f t="shared" si="21"/>
        <v>0</v>
      </c>
      <c r="EL26" s="85">
        <v>47102</v>
      </c>
      <c r="EM26" s="40"/>
      <c r="EN26" s="87"/>
      <c r="EO26" s="40">
        <v>0</v>
      </c>
      <c r="EP26" s="40">
        <v>0</v>
      </c>
      <c r="EQ26" s="40">
        <f t="shared" si="22"/>
        <v>0</v>
      </c>
      <c r="ES26" s="85">
        <v>47102</v>
      </c>
      <c r="EU26" s="87"/>
      <c r="EX26" s="40">
        <f t="shared" si="23"/>
        <v>0</v>
      </c>
      <c r="EZ26" s="85">
        <v>47102</v>
      </c>
      <c r="FF26" s="85">
        <v>47102</v>
      </c>
      <c r="FG26" s="40">
        <v>6160000</v>
      </c>
      <c r="FH26" s="87">
        <v>5.5E-2</v>
      </c>
      <c r="FI26" s="40">
        <f t="shared" si="24"/>
        <v>340450</v>
      </c>
      <c r="FJ26" s="40">
        <f t="shared" si="25"/>
        <v>6500450</v>
      </c>
      <c r="FL26" s="85">
        <v>47102</v>
      </c>
      <c r="FO26" s="40">
        <f t="shared" si="26"/>
        <v>0</v>
      </c>
      <c r="FP26" s="40">
        <f t="shared" si="27"/>
        <v>0</v>
      </c>
      <c r="FR26" s="85">
        <v>47102</v>
      </c>
      <c r="FW26" s="40">
        <f t="shared" si="28"/>
        <v>0</v>
      </c>
      <c r="FY26" s="85">
        <v>47102</v>
      </c>
      <c r="FZ26" s="40"/>
      <c r="GA26" s="87">
        <v>0</v>
      </c>
      <c r="GB26" s="40">
        <v>0</v>
      </c>
      <c r="GC26" s="40">
        <v>0</v>
      </c>
      <c r="GD26" s="40">
        <f t="shared" si="29"/>
        <v>0</v>
      </c>
      <c r="GF26" s="85">
        <v>47102</v>
      </c>
      <c r="GK26" s="40">
        <f t="shared" si="30"/>
        <v>0</v>
      </c>
      <c r="GM26" s="85">
        <v>47102</v>
      </c>
      <c r="GR26" s="40">
        <f t="shared" si="31"/>
        <v>0</v>
      </c>
    </row>
    <row r="27" spans="1:200" x14ac:dyDescent="0.25">
      <c r="A27" s="118">
        <f t="shared" si="37"/>
        <v>49110</v>
      </c>
      <c r="B27" s="85">
        <v>50221</v>
      </c>
      <c r="C27" s="86">
        <f t="shared" si="0"/>
        <v>382572172.5</v>
      </c>
      <c r="D27" s="40">
        <f t="shared" si="1"/>
        <v>0</v>
      </c>
      <c r="F27" s="85">
        <v>47299</v>
      </c>
      <c r="G27" s="85"/>
      <c r="H27" s="85">
        <v>47284</v>
      </c>
      <c r="I27" s="40">
        <f>SUM(Y26,Y27,AG26:AG27,AO26:AO27,AW26:AW27,BE26:BE27,BM26:BM27,BO26:BO27,BW26:BW27,CE26:CE27,CM26:CM27,CT26:CT27,DA26:DA27,DG26:DG27,DM26:DM27,DT26:DT27,DZ26:DZ27,EG26:EG27,EM26:EM27,ET26:ET27,FA26:FA27,FG26:FG27,FM26:FM27,FS26:FS27,FZ26:FZ27,GG26:GG27,GN26:GN27)</f>
        <v>66730321.299999997</v>
      </c>
      <c r="J27" s="40">
        <f>SUM(AA26,AA27,AI26:AI27,AQ26:AQ27,AY26:AY27,BG26:BG27,BQ26:BQ27,BY26:BY27,CG26:CG27,CO26:CO27,CV26:CV27,DC26:DC27,DI26:DI27,DO26:DO27,DV26:DV27,EB26:EB27,EI26:EI27,EO26:EO27,EV26:EV27,FC26:FC27,FI26:FI27,FO26:FO27,FU26:FU27,GB26:GB27,GI26:GI27,GP26:GP27)</f>
        <v>91002895.829999998</v>
      </c>
      <c r="K27" s="40">
        <f>SUM(AB26,AB27,BR26:BR27,BZ26:BZ27,CH26:CH27,CP26:CP27,CW26:CW27,DP26:DP27,EC26:EC27,EP26:EP27,EW26:EW27,FV26:FV27,GC26:GC27,GJ26:GJ27,GQ26:GQ27)</f>
        <v>83719678.700000003</v>
      </c>
      <c r="L27" s="40">
        <f>SUM(AC26,AC27,AS26:AS27,BA26:BA27,BI26:BI27,BS26:BS27,CA26:CA27,CI26:CI27)</f>
        <v>0</v>
      </c>
      <c r="M27" s="40">
        <f>SUM(I27:L27)</f>
        <v>241452895.82999998</v>
      </c>
      <c r="O27" s="85">
        <v>47299</v>
      </c>
      <c r="P27" s="85"/>
      <c r="Q27" s="85">
        <v>47284</v>
      </c>
      <c r="R27" s="40">
        <f t="shared" si="33"/>
        <v>15495321.300000001</v>
      </c>
      <c r="S27" s="40">
        <f t="shared" si="34"/>
        <v>44901325</v>
      </c>
      <c r="T27" s="40">
        <f t="shared" si="35"/>
        <v>83719678.700000003</v>
      </c>
      <c r="U27" s="40">
        <f t="shared" si="32"/>
        <v>0</v>
      </c>
      <c r="V27" s="40">
        <f t="shared" si="2"/>
        <v>144116325</v>
      </c>
      <c r="X27" s="85">
        <v>47284</v>
      </c>
      <c r="Y27" s="40"/>
      <c r="Z27" s="101"/>
      <c r="AA27" s="40">
        <v>12971900</v>
      </c>
      <c r="AB27" s="40">
        <v>0</v>
      </c>
      <c r="AC27" s="40"/>
      <c r="AD27" s="40">
        <f t="shared" si="3"/>
        <v>12971900</v>
      </c>
      <c r="AF27" s="85">
        <v>47284</v>
      </c>
      <c r="AG27" s="40"/>
      <c r="AH27" s="101"/>
      <c r="AI27" s="40">
        <f t="shared" ref="AI27:AI71" si="38">AG27*AH27/2+AI28</f>
        <v>0</v>
      </c>
      <c r="AJ27" s="40">
        <v>0</v>
      </c>
      <c r="AK27" s="40"/>
      <c r="AL27" s="40">
        <f t="shared" si="4"/>
        <v>0</v>
      </c>
      <c r="AN27" s="85">
        <v>47284</v>
      </c>
      <c r="AO27" s="40">
        <v>0</v>
      </c>
      <c r="AP27" s="101"/>
      <c r="AQ27" s="40">
        <f t="shared" si="5"/>
        <v>1637750</v>
      </c>
      <c r="AR27" s="40">
        <v>0</v>
      </c>
      <c r="AS27" s="40"/>
      <c r="AT27" s="40">
        <f t="shared" si="6"/>
        <v>1637750</v>
      </c>
      <c r="AV27" s="85">
        <v>47284</v>
      </c>
      <c r="AW27" s="40">
        <v>0</v>
      </c>
      <c r="AX27" s="102"/>
      <c r="AY27" s="40">
        <f t="shared" si="7"/>
        <v>0</v>
      </c>
      <c r="AZ27" s="40">
        <v>0</v>
      </c>
      <c r="BA27" s="40"/>
      <c r="BB27" s="40">
        <f t="shared" si="8"/>
        <v>0</v>
      </c>
      <c r="BD27" s="85">
        <v>47284</v>
      </c>
      <c r="BE27" s="40">
        <v>0</v>
      </c>
      <c r="BF27" s="102"/>
      <c r="BG27" s="40">
        <f t="shared" ref="BG27:BG75" si="39">ROUND(BE27*BF27/2+BG28,2)</f>
        <v>0</v>
      </c>
      <c r="BH27" s="40">
        <v>0</v>
      </c>
      <c r="BI27" s="40"/>
      <c r="BJ27" s="40">
        <f t="shared" si="10"/>
        <v>0</v>
      </c>
      <c r="BL27" s="85">
        <v>47284</v>
      </c>
      <c r="BM27" s="40"/>
      <c r="BN27" s="101"/>
      <c r="BO27" s="40"/>
      <c r="BP27" s="101"/>
      <c r="BQ27" s="40">
        <f t="shared" si="11"/>
        <v>19862625</v>
      </c>
      <c r="BR27" s="40"/>
      <c r="BS27" s="40"/>
      <c r="BT27" s="40">
        <f t="shared" si="12"/>
        <v>19862625</v>
      </c>
      <c r="BV27" s="85">
        <v>47284</v>
      </c>
      <c r="BW27" s="40"/>
      <c r="BX27" s="101"/>
      <c r="BY27" s="40"/>
      <c r="BZ27" s="40"/>
      <c r="CA27" s="40"/>
      <c r="CB27" s="40">
        <f t="shared" si="13"/>
        <v>0</v>
      </c>
      <c r="CD27" s="85">
        <v>47284</v>
      </c>
      <c r="CE27" s="40">
        <v>0</v>
      </c>
      <c r="CG27" s="40">
        <v>4750125</v>
      </c>
      <c r="CH27" s="40">
        <v>0</v>
      </c>
      <c r="CI27" s="40"/>
      <c r="CJ27" s="40">
        <f t="shared" si="14"/>
        <v>4750125</v>
      </c>
      <c r="CL27" s="85">
        <v>47284</v>
      </c>
      <c r="CM27" s="40">
        <v>0</v>
      </c>
      <c r="CN27" s="101"/>
      <c r="CO27" s="40">
        <v>426875</v>
      </c>
      <c r="CP27" s="40">
        <v>0</v>
      </c>
      <c r="CQ27" s="40">
        <f t="shared" si="15"/>
        <v>426875</v>
      </c>
      <c r="CS27" s="85">
        <v>47284</v>
      </c>
      <c r="CT27" s="40">
        <v>0</v>
      </c>
      <c r="CU27" s="40"/>
      <c r="CV27" s="40">
        <v>3425625</v>
      </c>
      <c r="CW27" s="40">
        <v>0</v>
      </c>
      <c r="CX27" s="40">
        <f t="shared" si="16"/>
        <v>3425625</v>
      </c>
      <c r="CZ27" s="85">
        <v>47284</v>
      </c>
      <c r="DA27" s="40">
        <v>0</v>
      </c>
      <c r="DB27" s="40"/>
      <c r="DC27" s="40">
        <v>1655375</v>
      </c>
      <c r="DD27" s="40">
        <f t="shared" si="17"/>
        <v>1655375</v>
      </c>
      <c r="DF27" s="85">
        <v>47284</v>
      </c>
      <c r="DG27" s="40">
        <v>0</v>
      </c>
      <c r="DH27" s="87">
        <v>0</v>
      </c>
      <c r="DI27" s="40">
        <f t="shared" si="36"/>
        <v>0</v>
      </c>
      <c r="DJ27" s="40">
        <f t="shared" si="18"/>
        <v>0</v>
      </c>
      <c r="DL27" s="85">
        <v>47284</v>
      </c>
      <c r="DM27" s="40">
        <v>0</v>
      </c>
      <c r="DN27" s="87">
        <v>0</v>
      </c>
      <c r="DO27" s="40"/>
      <c r="DP27" s="40">
        <v>0</v>
      </c>
      <c r="DQ27" s="40">
        <f t="shared" si="19"/>
        <v>0</v>
      </c>
      <c r="DS27" s="85">
        <v>47284</v>
      </c>
      <c r="DU27" s="87"/>
      <c r="DY27" s="85">
        <v>47284</v>
      </c>
      <c r="DZ27" s="40"/>
      <c r="EA27" s="87"/>
      <c r="EB27" s="40"/>
      <c r="EC27" s="40">
        <v>0</v>
      </c>
      <c r="ED27" s="40">
        <f t="shared" si="20"/>
        <v>0</v>
      </c>
      <c r="EF27" s="85">
        <v>47284</v>
      </c>
      <c r="EG27" s="40"/>
      <c r="EH27" s="87"/>
      <c r="EI27" s="40"/>
      <c r="EJ27" s="40">
        <f t="shared" si="21"/>
        <v>0</v>
      </c>
      <c r="EL27" s="85">
        <v>47284</v>
      </c>
      <c r="EM27" s="40"/>
      <c r="EN27" s="87"/>
      <c r="EO27" s="40">
        <v>0</v>
      </c>
      <c r="EP27" s="40">
        <v>0</v>
      </c>
      <c r="EQ27" s="40">
        <f t="shared" si="22"/>
        <v>0</v>
      </c>
      <c r="ES27" s="85">
        <v>47284</v>
      </c>
      <c r="EU27" s="87"/>
      <c r="EX27" s="40">
        <f t="shared" si="23"/>
        <v>0</v>
      </c>
      <c r="EZ27" s="85">
        <v>47284</v>
      </c>
      <c r="FF27" s="85">
        <v>47284</v>
      </c>
      <c r="FG27" s="40">
        <v>6220000</v>
      </c>
      <c r="FH27" s="87">
        <v>5.5E-2</v>
      </c>
      <c r="FI27" s="40">
        <f t="shared" si="24"/>
        <v>171050</v>
      </c>
      <c r="FJ27" s="40">
        <f t="shared" si="25"/>
        <v>6391050</v>
      </c>
      <c r="FL27" s="85">
        <v>47284</v>
      </c>
      <c r="FO27" s="40">
        <f t="shared" si="26"/>
        <v>0</v>
      </c>
      <c r="FP27" s="40">
        <f t="shared" si="27"/>
        <v>0</v>
      </c>
      <c r="FR27" s="85">
        <v>47284</v>
      </c>
      <c r="FW27" s="40">
        <f t="shared" si="28"/>
        <v>0</v>
      </c>
      <c r="FY27" s="85">
        <v>47284</v>
      </c>
      <c r="FZ27" s="40">
        <v>9275321.3000000007</v>
      </c>
      <c r="GA27" s="87">
        <v>6.7000000000000004E-2</v>
      </c>
      <c r="GB27" s="40">
        <v>0</v>
      </c>
      <c r="GC27" s="40">
        <v>83719678.700000003</v>
      </c>
      <c r="GD27" s="40">
        <f t="shared" si="29"/>
        <v>92995000</v>
      </c>
      <c r="GF27" s="85">
        <v>47284</v>
      </c>
      <c r="GK27" s="40">
        <f t="shared" si="30"/>
        <v>0</v>
      </c>
      <c r="GM27" s="85">
        <v>47284</v>
      </c>
      <c r="GR27" s="40">
        <f t="shared" si="31"/>
        <v>0</v>
      </c>
    </row>
    <row r="28" spans="1:200" x14ac:dyDescent="0.25">
      <c r="A28" s="118">
        <f t="shared" si="37"/>
        <v>49475</v>
      </c>
      <c r="B28" s="85">
        <v>50586</v>
      </c>
      <c r="C28" s="86">
        <f t="shared" si="0"/>
        <v>382568330</v>
      </c>
      <c r="D28" s="40">
        <f t="shared" si="1"/>
        <v>0</v>
      </c>
      <c r="F28" s="85">
        <v>47483</v>
      </c>
      <c r="G28" s="85"/>
      <c r="H28" s="85">
        <v>47467</v>
      </c>
      <c r="I28" s="40"/>
      <c r="O28" s="85">
        <v>47483</v>
      </c>
      <c r="P28" s="85"/>
      <c r="Q28" s="85">
        <v>47467</v>
      </c>
      <c r="R28" s="40">
        <f t="shared" si="33"/>
        <v>6595539.0499999998</v>
      </c>
      <c r="S28" s="40">
        <f t="shared" si="34"/>
        <v>44730275</v>
      </c>
      <c r="T28" s="40">
        <f t="shared" si="35"/>
        <v>155099460.94999999</v>
      </c>
      <c r="U28" s="40">
        <f t="shared" si="32"/>
        <v>0</v>
      </c>
      <c r="V28" s="40">
        <f t="shared" si="2"/>
        <v>206425275</v>
      </c>
      <c r="X28" s="85">
        <v>47467</v>
      </c>
      <c r="Y28" s="40"/>
      <c r="Z28" s="101"/>
      <c r="AA28" s="40">
        <v>12971900</v>
      </c>
      <c r="AB28" s="40">
        <v>0</v>
      </c>
      <c r="AC28" s="40"/>
      <c r="AD28" s="40">
        <f t="shared" si="3"/>
        <v>12971900</v>
      </c>
      <c r="AF28" s="85">
        <v>47467</v>
      </c>
      <c r="AG28" s="40"/>
      <c r="AH28" s="101"/>
      <c r="AI28" s="40">
        <f t="shared" si="38"/>
        <v>0</v>
      </c>
      <c r="AJ28" s="40">
        <v>0</v>
      </c>
      <c r="AK28" s="40"/>
      <c r="AL28" s="40">
        <f t="shared" si="4"/>
        <v>0</v>
      </c>
      <c r="AN28" s="85">
        <v>47467</v>
      </c>
      <c r="AO28" s="40">
        <v>0</v>
      </c>
      <c r="AP28" s="101"/>
      <c r="AQ28" s="40">
        <f t="shared" si="5"/>
        <v>1637750</v>
      </c>
      <c r="AR28" s="40">
        <v>0</v>
      </c>
      <c r="AS28" s="40"/>
      <c r="AT28" s="40">
        <f t="shared" si="6"/>
        <v>1637750</v>
      </c>
      <c r="AV28" s="85">
        <v>47467</v>
      </c>
      <c r="AW28" s="40">
        <v>0</v>
      </c>
      <c r="AX28" s="102"/>
      <c r="AY28" s="40">
        <f t="shared" si="7"/>
        <v>0</v>
      </c>
      <c r="AZ28" s="40">
        <v>0</v>
      </c>
      <c r="BA28" s="40"/>
      <c r="BB28" s="40">
        <f t="shared" si="8"/>
        <v>0</v>
      </c>
      <c r="BD28" s="85">
        <v>47467</v>
      </c>
      <c r="BE28" s="40">
        <v>0</v>
      </c>
      <c r="BF28" s="102"/>
      <c r="BG28" s="40">
        <f t="shared" si="39"/>
        <v>0</v>
      </c>
      <c r="BH28" s="40">
        <v>0</v>
      </c>
      <c r="BI28" s="40"/>
      <c r="BJ28" s="40">
        <f t="shared" si="10"/>
        <v>0</v>
      </c>
      <c r="BL28" s="85">
        <v>47467</v>
      </c>
      <c r="BM28" s="40"/>
      <c r="BN28" s="101"/>
      <c r="BO28" s="40"/>
      <c r="BP28" s="101"/>
      <c r="BQ28" s="40">
        <f t="shared" si="11"/>
        <v>19862625</v>
      </c>
      <c r="BR28" s="40"/>
      <c r="BS28" s="40"/>
      <c r="BT28" s="40">
        <f t="shared" si="12"/>
        <v>19862625</v>
      </c>
      <c r="BV28" s="85">
        <v>47467</v>
      </c>
      <c r="BW28" s="40"/>
      <c r="BX28" s="101"/>
      <c r="BY28" s="40"/>
      <c r="BZ28" s="40"/>
      <c r="CA28" s="40"/>
      <c r="CB28" s="40">
        <f t="shared" si="13"/>
        <v>0</v>
      </c>
      <c r="CD28" s="85">
        <v>47467</v>
      </c>
      <c r="CE28" s="40">
        <v>0</v>
      </c>
      <c r="CG28" s="40">
        <v>4750125</v>
      </c>
      <c r="CH28" s="40">
        <v>0</v>
      </c>
      <c r="CI28" s="40"/>
      <c r="CJ28" s="40">
        <f t="shared" si="14"/>
        <v>4750125</v>
      </c>
      <c r="CL28" s="85">
        <v>47467</v>
      </c>
      <c r="CM28" s="40">
        <v>0</v>
      </c>
      <c r="CN28" s="101"/>
      <c r="CO28" s="40">
        <v>426875</v>
      </c>
      <c r="CP28" s="40">
        <v>0</v>
      </c>
      <c r="CQ28" s="40">
        <f t="shared" si="15"/>
        <v>426875</v>
      </c>
      <c r="CS28" s="85">
        <v>47467</v>
      </c>
      <c r="CT28" s="40">
        <v>0</v>
      </c>
      <c r="CU28" s="40"/>
      <c r="CV28" s="40">
        <v>3425625</v>
      </c>
      <c r="CW28" s="40">
        <v>0</v>
      </c>
      <c r="CX28" s="40">
        <f t="shared" si="16"/>
        <v>3425625</v>
      </c>
      <c r="CZ28" s="85">
        <v>47467</v>
      </c>
      <c r="DA28" s="40">
        <v>0</v>
      </c>
      <c r="DB28" s="40"/>
      <c r="DC28" s="40">
        <v>1655375</v>
      </c>
      <c r="DD28" s="40">
        <f t="shared" si="17"/>
        <v>1655375</v>
      </c>
      <c r="DF28" s="85">
        <v>47467</v>
      </c>
      <c r="DG28" s="40">
        <v>0</v>
      </c>
      <c r="DH28" s="87">
        <v>0</v>
      </c>
      <c r="DI28" s="40">
        <f t="shared" si="36"/>
        <v>0</v>
      </c>
      <c r="DJ28" s="40">
        <f t="shared" si="18"/>
        <v>0</v>
      </c>
      <c r="DL28" s="85">
        <v>47467</v>
      </c>
      <c r="DM28" s="40">
        <v>0</v>
      </c>
      <c r="DN28" s="87">
        <v>0</v>
      </c>
      <c r="DO28" s="40"/>
      <c r="DP28" s="40">
        <v>0</v>
      </c>
      <c r="DQ28" s="40">
        <f t="shared" si="19"/>
        <v>0</v>
      </c>
      <c r="DS28" s="85">
        <v>47467</v>
      </c>
      <c r="DU28" s="87"/>
      <c r="DY28" s="85">
        <v>47467</v>
      </c>
      <c r="DZ28" s="40"/>
      <c r="EA28" s="87"/>
      <c r="EB28" s="40"/>
      <c r="EC28" s="40">
        <v>0</v>
      </c>
      <c r="ED28" s="40">
        <f t="shared" si="20"/>
        <v>0</v>
      </c>
      <c r="EF28" s="85">
        <v>47467</v>
      </c>
      <c r="EG28" s="40"/>
      <c r="EH28" s="87"/>
      <c r="EI28" s="40"/>
      <c r="EJ28" s="40">
        <f t="shared" si="21"/>
        <v>0</v>
      </c>
      <c r="EL28" s="85">
        <v>47467</v>
      </c>
      <c r="EM28" s="40">
        <v>6595539.0499999998</v>
      </c>
      <c r="EN28" s="87"/>
      <c r="EO28" s="40">
        <v>0</v>
      </c>
      <c r="EP28" s="40">
        <v>155099460.94999999</v>
      </c>
      <c r="EQ28" s="40">
        <f t="shared" si="22"/>
        <v>161695000</v>
      </c>
      <c r="ES28" s="85">
        <v>47467</v>
      </c>
      <c r="EU28" s="87"/>
      <c r="EX28" s="40">
        <f t="shared" si="23"/>
        <v>0</v>
      </c>
      <c r="EZ28" s="85">
        <v>47467</v>
      </c>
      <c r="FF28" s="85">
        <v>47467</v>
      </c>
      <c r="FJ28" s="40">
        <f t="shared" si="25"/>
        <v>0</v>
      </c>
      <c r="FL28" s="85">
        <v>47467</v>
      </c>
      <c r="FP28" s="40">
        <f t="shared" si="27"/>
        <v>0</v>
      </c>
      <c r="FR28" s="85">
        <v>47467</v>
      </c>
      <c r="FW28" s="40">
        <f t="shared" si="28"/>
        <v>0</v>
      </c>
      <c r="FY28" s="85">
        <v>47467</v>
      </c>
      <c r="GD28" s="40">
        <f t="shared" si="29"/>
        <v>0</v>
      </c>
      <c r="GF28" s="85">
        <v>47467</v>
      </c>
      <c r="GK28" s="40">
        <f t="shared" si="30"/>
        <v>0</v>
      </c>
      <c r="GM28" s="85">
        <v>47467</v>
      </c>
      <c r="GR28" s="40">
        <f t="shared" si="31"/>
        <v>0</v>
      </c>
    </row>
    <row r="29" spans="1:200" x14ac:dyDescent="0.25">
      <c r="A29" s="118">
        <f t="shared" si="37"/>
        <v>49841</v>
      </c>
      <c r="B29" s="85">
        <v>50951</v>
      </c>
      <c r="C29" s="86">
        <f t="shared" si="0"/>
        <v>382572643.75</v>
      </c>
      <c r="D29" s="40">
        <f t="shared" si="1"/>
        <v>0</v>
      </c>
      <c r="F29" s="85">
        <v>47664</v>
      </c>
      <c r="G29" s="85"/>
      <c r="H29" s="85">
        <v>47649</v>
      </c>
      <c r="I29" s="40">
        <f>SUM(Y28,Y29,AG28:AG29,AO28:AO29,AW28:AW29,BE28:BE29,BM28:BM29,BO28:BO29,BW28:BW29,CE28:CE29,CM28:CM29,CT28:CT29,DA28:DA29,DG28:DG29,DM28:DM29,DT28:DT29,DZ28:DZ29,EG28:EG29,EM28:EM29,ET28:ET29,FA28:FA29,FG28:FG29,FM28:FM29,FS28:FS29,FZ28:FZ29,GG28:GG29,GN28:GN29)</f>
        <v>10081634.65</v>
      </c>
      <c r="J29" s="40">
        <f>SUM(AA28,AA29,AI28:AI29,AQ28:AQ29,AY28:AY29,BG28:BG29,BQ28:BQ29,BY28:BY29,CG28:CG29,CO28:CO29,CV28:CV29,DC28:DC29,DI28:DI29,DO28:DO29,DV28:DV29,EB28:EB29,EI28:EI29,EO28:EO29,EV28:EV29,FC28:FC29,FI28:FI29,FO28:FO29,FU28:FU29,GB28:GB29,GI28:GI29,GP28:GP29)</f>
        <v>89460550</v>
      </c>
      <c r="K29" s="40">
        <f>SUM(AB28,AB29,BR28:BR29,BZ28:BZ29,CH28:CH29,CP28:CP29,CW28:CW29,DP28:DP29,EC28:EC29,EP28:EP29,EW28:EW29,FV28:FV29,GC28:GC29,GJ28:GJ29,GQ28:GQ29)</f>
        <v>242208365.34999999</v>
      </c>
      <c r="L29" s="40">
        <f>SUM(AC28,AC29,AS28:AS29,BA28:BA29,BI28:BI29,BS28:BS29,CA28:CA29,CI28:CI29)</f>
        <v>0</v>
      </c>
      <c r="M29" s="40">
        <f>SUM(I29:L29)</f>
        <v>341750550</v>
      </c>
      <c r="O29" s="85">
        <v>47664</v>
      </c>
      <c r="P29" s="85"/>
      <c r="Q29" s="85">
        <v>47649</v>
      </c>
      <c r="R29" s="40">
        <f t="shared" si="33"/>
        <v>3486095.6</v>
      </c>
      <c r="S29" s="40">
        <f t="shared" si="34"/>
        <v>44730275</v>
      </c>
      <c r="T29" s="40">
        <f t="shared" si="35"/>
        <v>87108904.400000006</v>
      </c>
      <c r="U29" s="40">
        <f t="shared" si="32"/>
        <v>0</v>
      </c>
      <c r="V29" s="40">
        <f t="shared" si="2"/>
        <v>135325275</v>
      </c>
      <c r="X29" s="85">
        <v>47649</v>
      </c>
      <c r="Y29" s="40"/>
      <c r="Z29" s="101"/>
      <c r="AA29" s="40">
        <v>12971900</v>
      </c>
      <c r="AB29" s="40">
        <v>0</v>
      </c>
      <c r="AC29" s="40"/>
      <c r="AD29" s="40">
        <f t="shared" si="3"/>
        <v>12971900</v>
      </c>
      <c r="AF29" s="85">
        <v>47649</v>
      </c>
      <c r="AG29" s="40"/>
      <c r="AH29" s="101"/>
      <c r="AI29" s="40">
        <f t="shared" si="38"/>
        <v>0</v>
      </c>
      <c r="AJ29" s="40">
        <v>0</v>
      </c>
      <c r="AK29" s="40"/>
      <c r="AL29" s="40">
        <f t="shared" si="4"/>
        <v>0</v>
      </c>
      <c r="AN29" s="85">
        <v>47649</v>
      </c>
      <c r="AO29" s="40">
        <v>0</v>
      </c>
      <c r="AP29" s="101"/>
      <c r="AQ29" s="40">
        <f t="shared" si="5"/>
        <v>1637750</v>
      </c>
      <c r="AR29" s="40">
        <v>0</v>
      </c>
      <c r="AS29" s="40"/>
      <c r="AT29" s="40">
        <f t="shared" si="6"/>
        <v>1637750</v>
      </c>
      <c r="AV29" s="85">
        <v>47649</v>
      </c>
      <c r="AW29" s="40">
        <v>0</v>
      </c>
      <c r="AX29" s="102"/>
      <c r="AY29" s="40">
        <f t="shared" si="7"/>
        <v>0</v>
      </c>
      <c r="AZ29" s="40">
        <v>0</v>
      </c>
      <c r="BA29" s="40"/>
      <c r="BB29" s="40">
        <f t="shared" si="8"/>
        <v>0</v>
      </c>
      <c r="BD29" s="85">
        <v>47649</v>
      </c>
      <c r="BE29" s="40">
        <v>0</v>
      </c>
      <c r="BF29" s="102"/>
      <c r="BG29" s="40">
        <f t="shared" si="39"/>
        <v>0</v>
      </c>
      <c r="BH29" s="40">
        <v>0</v>
      </c>
      <c r="BI29" s="40"/>
      <c r="BJ29" s="40">
        <f t="shared" si="10"/>
        <v>0</v>
      </c>
      <c r="BL29" s="85">
        <v>47649</v>
      </c>
      <c r="BM29" s="40"/>
      <c r="BN29" s="101"/>
      <c r="BO29" s="40"/>
      <c r="BP29" s="101"/>
      <c r="BQ29" s="40">
        <f t="shared" si="11"/>
        <v>19862625</v>
      </c>
      <c r="BR29" s="40"/>
      <c r="BS29" s="40"/>
      <c r="BT29" s="40">
        <f t="shared" si="12"/>
        <v>19862625</v>
      </c>
      <c r="BV29" s="85">
        <v>47649</v>
      </c>
      <c r="BW29" s="40"/>
      <c r="BX29" s="101"/>
      <c r="BY29" s="40"/>
      <c r="BZ29" s="40"/>
      <c r="CA29" s="40"/>
      <c r="CB29" s="40">
        <f t="shared" si="13"/>
        <v>0</v>
      </c>
      <c r="CD29" s="85">
        <v>47649</v>
      </c>
      <c r="CE29" s="40">
        <v>0</v>
      </c>
      <c r="CG29" s="40">
        <v>4750125</v>
      </c>
      <c r="CH29" s="40">
        <v>0</v>
      </c>
      <c r="CI29" s="40"/>
      <c r="CJ29" s="40">
        <f t="shared" si="14"/>
        <v>4750125</v>
      </c>
      <c r="CL29" s="85">
        <v>47649</v>
      </c>
      <c r="CM29" s="40">
        <v>0</v>
      </c>
      <c r="CN29" s="101"/>
      <c r="CO29" s="40">
        <v>426875</v>
      </c>
      <c r="CP29" s="40">
        <v>0</v>
      </c>
      <c r="CQ29" s="40">
        <f t="shared" si="15"/>
        <v>426875</v>
      </c>
      <c r="CS29" s="85">
        <v>47649</v>
      </c>
      <c r="CT29" s="40">
        <v>0</v>
      </c>
      <c r="CU29" s="40"/>
      <c r="CV29" s="40">
        <v>3425625</v>
      </c>
      <c r="CW29" s="40">
        <v>0</v>
      </c>
      <c r="CX29" s="40">
        <f t="shared" si="16"/>
        <v>3425625</v>
      </c>
      <c r="CZ29" s="85">
        <v>47649</v>
      </c>
      <c r="DA29" s="40">
        <v>0</v>
      </c>
      <c r="DB29" s="40"/>
      <c r="DC29" s="40">
        <v>1655375</v>
      </c>
      <c r="DD29" s="40">
        <f t="shared" si="17"/>
        <v>1655375</v>
      </c>
      <c r="DF29" s="85">
        <v>47649</v>
      </c>
      <c r="DG29" s="40">
        <v>0</v>
      </c>
      <c r="DH29" s="87">
        <v>0</v>
      </c>
      <c r="DI29" s="40">
        <f t="shared" si="36"/>
        <v>0</v>
      </c>
      <c r="DJ29" s="40">
        <f t="shared" si="18"/>
        <v>0</v>
      </c>
      <c r="DL29" s="85">
        <v>47649</v>
      </c>
      <c r="DM29" s="40">
        <v>0</v>
      </c>
      <c r="DN29" s="87">
        <v>0</v>
      </c>
      <c r="DO29" s="40"/>
      <c r="DP29" s="40">
        <v>0</v>
      </c>
      <c r="DQ29" s="40">
        <f t="shared" si="19"/>
        <v>0</v>
      </c>
      <c r="DS29" s="85">
        <v>47649</v>
      </c>
      <c r="DU29" s="87"/>
      <c r="DY29" s="85">
        <v>47649</v>
      </c>
      <c r="DZ29" s="40"/>
      <c r="EA29" s="87"/>
      <c r="EB29" s="40"/>
      <c r="EC29" s="40">
        <v>0</v>
      </c>
      <c r="ED29" s="40">
        <f t="shared" si="20"/>
        <v>0</v>
      </c>
      <c r="EF29" s="85">
        <v>47649</v>
      </c>
      <c r="EG29" s="40"/>
      <c r="EH29" s="87"/>
      <c r="EI29" s="40"/>
      <c r="EJ29" s="40">
        <f t="shared" si="21"/>
        <v>0</v>
      </c>
      <c r="EL29" s="85">
        <v>47649</v>
      </c>
      <c r="EM29" s="40">
        <v>3486095.6</v>
      </c>
      <c r="EN29" s="87"/>
      <c r="EO29" s="40">
        <v>0</v>
      </c>
      <c r="EP29" s="40">
        <v>87108904.400000006</v>
      </c>
      <c r="EQ29" s="40">
        <f t="shared" si="22"/>
        <v>90595000</v>
      </c>
      <c r="ES29" s="85">
        <v>47649</v>
      </c>
      <c r="EU29" s="87"/>
      <c r="EX29" s="40">
        <f t="shared" si="23"/>
        <v>0</v>
      </c>
      <c r="EZ29" s="85">
        <v>47649</v>
      </c>
      <c r="FF29" s="85">
        <v>47649</v>
      </c>
      <c r="FJ29" s="40">
        <f t="shared" si="25"/>
        <v>0</v>
      </c>
      <c r="FL29" s="85">
        <v>47649</v>
      </c>
      <c r="FP29" s="40">
        <f t="shared" si="27"/>
        <v>0</v>
      </c>
      <c r="FR29" s="85">
        <v>47649</v>
      </c>
      <c r="FW29" s="40">
        <f t="shared" si="28"/>
        <v>0</v>
      </c>
      <c r="FY29" s="85">
        <v>47649</v>
      </c>
      <c r="GD29" s="40">
        <f t="shared" si="29"/>
        <v>0</v>
      </c>
      <c r="GF29" s="85">
        <v>47649</v>
      </c>
      <c r="GK29" s="40">
        <f t="shared" si="30"/>
        <v>0</v>
      </c>
      <c r="GM29" s="85">
        <v>47649</v>
      </c>
      <c r="GR29" s="40">
        <f t="shared" si="31"/>
        <v>0</v>
      </c>
    </row>
    <row r="30" spans="1:200" x14ac:dyDescent="0.25">
      <c r="A30" s="118">
        <f t="shared" si="37"/>
        <v>50206</v>
      </c>
      <c r="B30" s="85">
        <v>51317</v>
      </c>
      <c r="C30" s="86">
        <f t="shared" si="0"/>
        <v>382569005</v>
      </c>
      <c r="D30" s="40">
        <f t="shared" si="1"/>
        <v>0</v>
      </c>
      <c r="F30" s="85">
        <v>47848</v>
      </c>
      <c r="G30" s="85"/>
      <c r="H30" s="85">
        <v>47832</v>
      </c>
      <c r="I30" s="40"/>
      <c r="O30" s="85">
        <v>47848</v>
      </c>
      <c r="P30" s="85"/>
      <c r="Q30" s="85">
        <v>47832</v>
      </c>
      <c r="R30" s="40">
        <f t="shared" si="33"/>
        <v>12504528.5</v>
      </c>
      <c r="S30" s="40">
        <f t="shared" si="34"/>
        <v>44730275</v>
      </c>
      <c r="T30" s="40">
        <f t="shared" si="35"/>
        <v>155825471.5</v>
      </c>
      <c r="U30" s="40">
        <f t="shared" si="32"/>
        <v>0</v>
      </c>
      <c r="V30" s="40">
        <f t="shared" si="2"/>
        <v>213060275</v>
      </c>
      <c r="X30" s="85">
        <v>47832</v>
      </c>
      <c r="Y30" s="40"/>
      <c r="Z30" s="101"/>
      <c r="AA30" s="40">
        <v>12971900</v>
      </c>
      <c r="AB30" s="40">
        <v>0</v>
      </c>
      <c r="AC30" s="40"/>
      <c r="AD30" s="40">
        <f t="shared" si="3"/>
        <v>12971900</v>
      </c>
      <c r="AF30" s="85">
        <v>47832</v>
      </c>
      <c r="AG30" s="40"/>
      <c r="AH30" s="101"/>
      <c r="AI30" s="40">
        <f t="shared" si="38"/>
        <v>0</v>
      </c>
      <c r="AJ30" s="40">
        <v>0</v>
      </c>
      <c r="AK30" s="40"/>
      <c r="AL30" s="40">
        <f t="shared" si="4"/>
        <v>0</v>
      </c>
      <c r="AN30" s="85">
        <v>47832</v>
      </c>
      <c r="AO30" s="40">
        <v>0</v>
      </c>
      <c r="AP30" s="101"/>
      <c r="AQ30" s="40">
        <f t="shared" si="5"/>
        <v>1637750</v>
      </c>
      <c r="AR30" s="40">
        <v>0</v>
      </c>
      <c r="AS30" s="40"/>
      <c r="AT30" s="40">
        <f t="shared" si="6"/>
        <v>1637750</v>
      </c>
      <c r="AV30" s="85">
        <v>47832</v>
      </c>
      <c r="AW30" s="40">
        <v>0</v>
      </c>
      <c r="AX30" s="102"/>
      <c r="AY30" s="40">
        <f t="shared" si="7"/>
        <v>0</v>
      </c>
      <c r="AZ30" s="40">
        <v>0</v>
      </c>
      <c r="BA30" s="40"/>
      <c r="BB30" s="40">
        <f t="shared" si="8"/>
        <v>0</v>
      </c>
      <c r="BD30" s="85">
        <v>47832</v>
      </c>
      <c r="BE30" s="40">
        <v>0</v>
      </c>
      <c r="BF30" s="102"/>
      <c r="BG30" s="40">
        <f t="shared" si="39"/>
        <v>0</v>
      </c>
      <c r="BH30" s="40">
        <v>0</v>
      </c>
      <c r="BI30" s="40"/>
      <c r="BJ30" s="40">
        <f t="shared" si="10"/>
        <v>0</v>
      </c>
      <c r="BL30" s="85">
        <v>47832</v>
      </c>
      <c r="BM30" s="40"/>
      <c r="BN30" s="101"/>
      <c r="BO30" s="40"/>
      <c r="BP30" s="101"/>
      <c r="BQ30" s="40">
        <f t="shared" si="11"/>
        <v>19862625</v>
      </c>
      <c r="BR30" s="40"/>
      <c r="BS30" s="40"/>
      <c r="BT30" s="40">
        <f t="shared" si="12"/>
        <v>19862625</v>
      </c>
      <c r="BV30" s="85">
        <v>47832</v>
      </c>
      <c r="BW30" s="40"/>
      <c r="BX30" s="101"/>
      <c r="BY30" s="40"/>
      <c r="BZ30" s="40"/>
      <c r="CA30" s="40"/>
      <c r="CB30" s="40">
        <f t="shared" si="13"/>
        <v>0</v>
      </c>
      <c r="CD30" s="85">
        <v>47832</v>
      </c>
      <c r="CE30" s="40">
        <v>0</v>
      </c>
      <c r="CG30" s="40">
        <v>4750125</v>
      </c>
      <c r="CH30" s="40">
        <v>0</v>
      </c>
      <c r="CI30" s="40"/>
      <c r="CJ30" s="40">
        <f t="shared" si="14"/>
        <v>4750125</v>
      </c>
      <c r="CL30" s="85">
        <v>47832</v>
      </c>
      <c r="CM30" s="40">
        <v>5360000</v>
      </c>
      <c r="CN30" s="101">
        <v>0.05</v>
      </c>
      <c r="CO30" s="40">
        <v>426875</v>
      </c>
      <c r="CP30" s="40">
        <v>0</v>
      </c>
      <c r="CQ30" s="40">
        <f t="shared" si="15"/>
        <v>5786875</v>
      </c>
      <c r="CS30" s="85">
        <v>47832</v>
      </c>
      <c r="CT30" s="40">
        <v>0</v>
      </c>
      <c r="CU30" s="40"/>
      <c r="CV30" s="40">
        <v>3425625</v>
      </c>
      <c r="CW30" s="40">
        <v>0</v>
      </c>
      <c r="CX30" s="40">
        <f t="shared" si="16"/>
        <v>3425625</v>
      </c>
      <c r="CZ30" s="85">
        <v>47832</v>
      </c>
      <c r="DA30" s="40">
        <v>1275000</v>
      </c>
      <c r="DB30" s="101">
        <v>0.05</v>
      </c>
      <c r="DC30" s="40">
        <v>1655375</v>
      </c>
      <c r="DD30" s="40">
        <f t="shared" si="17"/>
        <v>2930375</v>
      </c>
      <c r="DF30" s="85">
        <v>47832</v>
      </c>
      <c r="DG30" s="40">
        <v>0</v>
      </c>
      <c r="DH30" s="87">
        <v>0</v>
      </c>
      <c r="DI30" s="40">
        <f t="shared" si="36"/>
        <v>0</v>
      </c>
      <c r="DJ30" s="40">
        <f t="shared" si="18"/>
        <v>0</v>
      </c>
      <c r="DL30" s="85">
        <v>47832</v>
      </c>
      <c r="DM30" s="40">
        <v>0</v>
      </c>
      <c r="DN30" s="87">
        <v>0</v>
      </c>
      <c r="DO30" s="40"/>
      <c r="DP30" s="40">
        <v>0</v>
      </c>
      <c r="DQ30" s="40">
        <f t="shared" si="19"/>
        <v>0</v>
      </c>
      <c r="DS30" s="85">
        <v>47832</v>
      </c>
      <c r="DU30" s="87"/>
      <c r="DY30" s="85">
        <v>47832</v>
      </c>
      <c r="DZ30" s="40"/>
      <c r="EA30" s="87"/>
      <c r="EB30" s="40"/>
      <c r="EC30" s="40">
        <v>0</v>
      </c>
      <c r="ED30" s="40">
        <f t="shared" si="20"/>
        <v>0</v>
      </c>
      <c r="EF30" s="85">
        <v>47832</v>
      </c>
      <c r="EG30" s="40"/>
      <c r="EH30" s="87"/>
      <c r="EI30" s="40"/>
      <c r="EJ30" s="40">
        <f t="shared" si="21"/>
        <v>0</v>
      </c>
      <c r="EL30" s="85">
        <v>47832</v>
      </c>
      <c r="EM30" s="40">
        <v>5869528.5</v>
      </c>
      <c r="EN30" s="87"/>
      <c r="EO30" s="40">
        <v>0</v>
      </c>
      <c r="EP30" s="40">
        <v>155825471.5</v>
      </c>
      <c r="EQ30" s="40">
        <f t="shared" si="22"/>
        <v>161695000</v>
      </c>
      <c r="ES30" s="85">
        <v>47832</v>
      </c>
      <c r="EU30" s="87"/>
      <c r="EX30" s="40">
        <f t="shared" si="23"/>
        <v>0</v>
      </c>
      <c r="EZ30" s="85">
        <v>47832</v>
      </c>
      <c r="FF30" s="85">
        <v>47832</v>
      </c>
      <c r="FJ30" s="40">
        <f t="shared" si="25"/>
        <v>0</v>
      </c>
      <c r="FL30" s="85">
        <v>47832</v>
      </c>
      <c r="FP30" s="40">
        <f t="shared" si="27"/>
        <v>0</v>
      </c>
      <c r="FR30" s="85">
        <v>47832</v>
      </c>
      <c r="FW30" s="40">
        <f t="shared" si="28"/>
        <v>0</v>
      </c>
      <c r="FY30" s="85">
        <v>47832</v>
      </c>
      <c r="GD30" s="40">
        <f t="shared" si="29"/>
        <v>0</v>
      </c>
      <c r="GF30" s="85">
        <v>47832</v>
      </c>
      <c r="GK30" s="40">
        <f t="shared" si="30"/>
        <v>0</v>
      </c>
      <c r="GM30" s="85">
        <v>47832</v>
      </c>
      <c r="GR30" s="40">
        <f t="shared" si="31"/>
        <v>0</v>
      </c>
    </row>
    <row r="31" spans="1:200" x14ac:dyDescent="0.25">
      <c r="A31" s="118">
        <f t="shared" si="37"/>
        <v>50571</v>
      </c>
      <c r="B31" s="85">
        <v>51682</v>
      </c>
      <c r="C31" s="86">
        <f t="shared" si="0"/>
        <v>382569382.85000002</v>
      </c>
      <c r="D31" s="40">
        <f t="shared" si="1"/>
        <v>0</v>
      </c>
      <c r="F31" s="85">
        <v>48029</v>
      </c>
      <c r="G31" s="85"/>
      <c r="H31" s="85">
        <v>48014</v>
      </c>
      <c r="I31" s="40">
        <f>SUM(Y30,Y31,AG30:AG31,AO30:AO31,AW30:AW31,BE30:BE31,BM30:BM31,BO30:BO31,BW30:BW31,CE30:CE31,CM30:CM31,CT30:CT31,DA30:DA31,DG30:DG31,DM30:DM31,DT30:DT31,DZ30:DZ31,EG30:EG31,EM30:EM31,ET30:ET31,FA30:FA31,FG30:FG31,FM30:FM31,FS30:FS31,FZ30:FZ31,GG30:GG31,GN30:GN31)</f>
        <v>16220954.1</v>
      </c>
      <c r="J31" s="40">
        <f>SUM(AA30,AA31,AI30:AI31,AQ30:AQ31,AY30:AY31,BG30:BG31,BQ30:BQ31,BY30:BY31,CG30:CG31,CO30:CO31,CV30:CV31,DC30:DC31,DI30:DI31,DO30:DO31,DV30:DV31,EB30:EB31,EI30:EI31,EO30:EO31,EV30:EV31,FC30:FC31,FI30:FI31,FO30:FO31,FU30:FU31,GB30:GB31,GI30:GI31,GP30:GP31)</f>
        <v>89294675</v>
      </c>
      <c r="K31" s="40">
        <f>SUM(AB30,AB31,BR30:BR31,BZ30:BZ31,CH30:CH31,CP30:CP31,CW30:CW31,DP30:DP31,EC30:EC31,EP30:EP31,EW30:EW31,FV30:FV31,GC30:GC31,GJ30:GJ31,GQ30:GQ31)</f>
        <v>248239045.90000001</v>
      </c>
      <c r="L31" s="40">
        <f>SUM(AC30,AC31,AS30:AS31,BA30:BA31,BI30:BI31,BS30:BS31,CA30:CA31,CI30:CI31)</f>
        <v>0</v>
      </c>
      <c r="M31" s="40">
        <f>SUM(I31:L31)</f>
        <v>353754675</v>
      </c>
      <c r="O31" s="85">
        <v>48029</v>
      </c>
      <c r="P31" s="85"/>
      <c r="Q31" s="85">
        <v>48014</v>
      </c>
      <c r="R31" s="40">
        <f t="shared" si="33"/>
        <v>3716425.6</v>
      </c>
      <c r="S31" s="40">
        <f t="shared" si="34"/>
        <v>44564400</v>
      </c>
      <c r="T31" s="40">
        <f t="shared" si="35"/>
        <v>92413574.400000006</v>
      </c>
      <c r="U31" s="40">
        <f t="shared" si="32"/>
        <v>0</v>
      </c>
      <c r="V31" s="40">
        <f t="shared" si="2"/>
        <v>140694400</v>
      </c>
      <c r="X31" s="85">
        <v>48014</v>
      </c>
      <c r="Y31" s="40"/>
      <c r="Z31" s="101"/>
      <c r="AA31" s="40">
        <v>12971900</v>
      </c>
      <c r="AB31" s="40">
        <v>0</v>
      </c>
      <c r="AC31" s="40"/>
      <c r="AD31" s="40">
        <f t="shared" si="3"/>
        <v>12971900</v>
      </c>
      <c r="AF31" s="85">
        <v>48014</v>
      </c>
      <c r="AG31" s="40"/>
      <c r="AH31" s="101"/>
      <c r="AI31" s="40">
        <f t="shared" si="38"/>
        <v>0</v>
      </c>
      <c r="AJ31" s="40">
        <v>0</v>
      </c>
      <c r="AK31" s="40"/>
      <c r="AL31" s="40">
        <f t="shared" si="4"/>
        <v>0</v>
      </c>
      <c r="AN31" s="85">
        <v>48014</v>
      </c>
      <c r="AO31" s="40">
        <v>0</v>
      </c>
      <c r="AP31" s="101"/>
      <c r="AQ31" s="40">
        <f t="shared" si="5"/>
        <v>1637750</v>
      </c>
      <c r="AR31" s="40">
        <v>0</v>
      </c>
      <c r="AS31" s="40"/>
      <c r="AT31" s="40">
        <f t="shared" si="6"/>
        <v>1637750</v>
      </c>
      <c r="AV31" s="85">
        <v>48014</v>
      </c>
      <c r="AW31" s="40">
        <v>0</v>
      </c>
      <c r="AX31" s="102"/>
      <c r="AY31" s="40">
        <f t="shared" si="7"/>
        <v>0</v>
      </c>
      <c r="AZ31" s="40">
        <v>0</v>
      </c>
      <c r="BA31" s="40"/>
      <c r="BB31" s="40">
        <f t="shared" si="8"/>
        <v>0</v>
      </c>
      <c r="BD31" s="85">
        <v>48014</v>
      </c>
      <c r="BE31" s="40">
        <v>0</v>
      </c>
      <c r="BF31" s="102"/>
      <c r="BG31" s="40">
        <f t="shared" si="39"/>
        <v>0</v>
      </c>
      <c r="BH31" s="40">
        <v>0</v>
      </c>
      <c r="BI31" s="40"/>
      <c r="BJ31" s="40">
        <f t="shared" si="10"/>
        <v>0</v>
      </c>
      <c r="BL31" s="85">
        <v>48014</v>
      </c>
      <c r="BM31" s="40"/>
      <c r="BN31" s="101"/>
      <c r="BO31" s="40"/>
      <c r="BP31" s="101"/>
      <c r="BQ31" s="40">
        <f t="shared" si="11"/>
        <v>19862625</v>
      </c>
      <c r="BR31" s="40"/>
      <c r="BS31" s="40"/>
      <c r="BT31" s="40">
        <f t="shared" si="12"/>
        <v>19862625</v>
      </c>
      <c r="BV31" s="85">
        <v>48014</v>
      </c>
      <c r="BW31" s="40"/>
      <c r="BX31" s="101"/>
      <c r="BY31" s="40"/>
      <c r="BZ31" s="40"/>
      <c r="CA31" s="40"/>
      <c r="CB31" s="40">
        <f t="shared" si="13"/>
        <v>0</v>
      </c>
      <c r="CD31" s="85">
        <v>48014</v>
      </c>
      <c r="CE31" s="40">
        <v>0</v>
      </c>
      <c r="CG31" s="40">
        <v>4750125</v>
      </c>
      <c r="CH31" s="40">
        <v>0</v>
      </c>
      <c r="CI31" s="40"/>
      <c r="CJ31" s="40">
        <f t="shared" si="14"/>
        <v>4750125</v>
      </c>
      <c r="CL31" s="85">
        <v>48014</v>
      </c>
      <c r="CM31" s="40">
        <v>0</v>
      </c>
      <c r="CN31" s="101"/>
      <c r="CO31" s="40">
        <v>292875</v>
      </c>
      <c r="CP31" s="40">
        <v>0</v>
      </c>
      <c r="CQ31" s="40">
        <f t="shared" si="15"/>
        <v>292875</v>
      </c>
      <c r="CS31" s="85">
        <v>48014</v>
      </c>
      <c r="CT31" s="40">
        <v>0</v>
      </c>
      <c r="CU31" s="40"/>
      <c r="CV31" s="40">
        <v>3425625</v>
      </c>
      <c r="CW31" s="40">
        <v>0</v>
      </c>
      <c r="CX31" s="40">
        <f t="shared" si="16"/>
        <v>3425625</v>
      </c>
      <c r="CZ31" s="85">
        <v>48014</v>
      </c>
      <c r="DA31" s="40">
        <v>440000</v>
      </c>
      <c r="DB31" s="101">
        <v>0.05</v>
      </c>
      <c r="DC31" s="40">
        <v>1623500</v>
      </c>
      <c r="DD31" s="40">
        <f t="shared" si="17"/>
        <v>2063500</v>
      </c>
      <c r="DF31" s="85">
        <v>48014</v>
      </c>
      <c r="DG31" s="40">
        <v>0</v>
      </c>
      <c r="DH31" s="87">
        <v>0</v>
      </c>
      <c r="DI31" s="40">
        <f t="shared" si="36"/>
        <v>0</v>
      </c>
      <c r="DJ31" s="40">
        <f t="shared" si="18"/>
        <v>0</v>
      </c>
      <c r="DL31" s="85">
        <v>48014</v>
      </c>
      <c r="DM31" s="40">
        <v>0</v>
      </c>
      <c r="DN31" s="87">
        <v>0</v>
      </c>
      <c r="DO31" s="40"/>
      <c r="DP31" s="40">
        <v>0</v>
      </c>
      <c r="DQ31" s="40">
        <f t="shared" si="19"/>
        <v>0</v>
      </c>
      <c r="DS31" s="85">
        <v>48014</v>
      </c>
      <c r="DU31" s="87"/>
      <c r="DY31" s="85">
        <v>48014</v>
      </c>
      <c r="DZ31" s="40"/>
      <c r="EA31" s="87"/>
      <c r="EB31" s="40"/>
      <c r="EC31" s="40">
        <v>0</v>
      </c>
      <c r="ED31" s="40">
        <f t="shared" si="20"/>
        <v>0</v>
      </c>
      <c r="EF31" s="85">
        <v>48014</v>
      </c>
      <c r="EG31" s="40"/>
      <c r="EH31" s="87"/>
      <c r="EI31" s="40"/>
      <c r="EJ31" s="40">
        <f t="shared" si="21"/>
        <v>0</v>
      </c>
      <c r="EL31" s="85">
        <v>48014</v>
      </c>
      <c r="EM31" s="40">
        <v>3276425.6</v>
      </c>
      <c r="EN31" s="87"/>
      <c r="EO31" s="40">
        <v>0</v>
      </c>
      <c r="EP31" s="40">
        <v>92413574.400000006</v>
      </c>
      <c r="EQ31" s="40">
        <f t="shared" si="22"/>
        <v>95690000</v>
      </c>
      <c r="ES31" s="85">
        <v>48014</v>
      </c>
      <c r="EU31" s="87"/>
      <c r="EX31" s="40">
        <f t="shared" si="23"/>
        <v>0</v>
      </c>
      <c r="EZ31" s="85">
        <v>48014</v>
      </c>
      <c r="FF31" s="85">
        <v>48014</v>
      </c>
      <c r="FJ31" s="40">
        <f t="shared" si="25"/>
        <v>0</v>
      </c>
      <c r="FL31" s="85">
        <v>48014</v>
      </c>
      <c r="FP31" s="40">
        <f t="shared" si="27"/>
        <v>0</v>
      </c>
      <c r="FR31" s="85">
        <v>48014</v>
      </c>
      <c r="FW31" s="40">
        <f t="shared" si="28"/>
        <v>0</v>
      </c>
      <c r="FY31" s="85">
        <v>48014</v>
      </c>
      <c r="GD31" s="40">
        <f t="shared" si="29"/>
        <v>0</v>
      </c>
      <c r="GF31" s="85">
        <v>48014</v>
      </c>
      <c r="GK31" s="40">
        <f t="shared" si="30"/>
        <v>0</v>
      </c>
      <c r="GM31" s="85">
        <v>48014</v>
      </c>
      <c r="GR31" s="40">
        <f t="shared" si="31"/>
        <v>0</v>
      </c>
    </row>
    <row r="32" spans="1:200" x14ac:dyDescent="0.25">
      <c r="A32" s="118">
        <f t="shared" si="37"/>
        <v>50936</v>
      </c>
      <c r="B32" s="85">
        <v>52047</v>
      </c>
      <c r="C32" s="86">
        <f t="shared" si="0"/>
        <v>382572255</v>
      </c>
      <c r="D32" s="40">
        <f t="shared" si="1"/>
        <v>0</v>
      </c>
      <c r="F32" s="85">
        <v>48213</v>
      </c>
      <c r="G32" s="85"/>
      <c r="H32" s="85">
        <v>48197</v>
      </c>
      <c r="I32" s="40"/>
      <c r="O32" s="85">
        <v>48213</v>
      </c>
      <c r="P32" s="85"/>
      <c r="Q32" s="85">
        <v>48197</v>
      </c>
      <c r="R32" s="40">
        <f t="shared" si="33"/>
        <v>9249365.4499999993</v>
      </c>
      <c r="S32" s="40">
        <f t="shared" si="34"/>
        <v>45974151.25</v>
      </c>
      <c r="T32" s="40">
        <f t="shared" si="35"/>
        <v>156470634.55000001</v>
      </c>
      <c r="U32" s="40">
        <f t="shared" si="32"/>
        <v>0</v>
      </c>
      <c r="V32" s="40">
        <f t="shared" si="2"/>
        <v>211694151.25</v>
      </c>
      <c r="X32" s="85">
        <v>48197</v>
      </c>
      <c r="Y32" s="40"/>
      <c r="Z32" s="101"/>
      <c r="AA32" s="40">
        <v>12971900</v>
      </c>
      <c r="AB32" s="40">
        <v>0</v>
      </c>
      <c r="AC32" s="40"/>
      <c r="AD32" s="40">
        <f t="shared" si="3"/>
        <v>12971900</v>
      </c>
      <c r="AF32" s="85">
        <v>48197</v>
      </c>
      <c r="AG32" s="40"/>
      <c r="AH32" s="101"/>
      <c r="AI32" s="40">
        <f t="shared" si="38"/>
        <v>0</v>
      </c>
      <c r="AJ32" s="40">
        <v>0</v>
      </c>
      <c r="AK32" s="40"/>
      <c r="AL32" s="40">
        <f t="shared" si="4"/>
        <v>0</v>
      </c>
      <c r="AN32" s="85">
        <v>48197</v>
      </c>
      <c r="AO32" s="40">
        <v>0</v>
      </c>
      <c r="AP32" s="101"/>
      <c r="AQ32" s="40">
        <f t="shared" si="5"/>
        <v>1637750</v>
      </c>
      <c r="AR32" s="40">
        <v>0</v>
      </c>
      <c r="AS32" s="40"/>
      <c r="AT32" s="40">
        <f t="shared" si="6"/>
        <v>1637750</v>
      </c>
      <c r="AV32" s="85">
        <v>48197</v>
      </c>
      <c r="AW32" s="40">
        <v>0</v>
      </c>
      <c r="AX32" s="102"/>
      <c r="AY32" s="40">
        <f t="shared" si="7"/>
        <v>0</v>
      </c>
      <c r="AZ32" s="40">
        <v>0</v>
      </c>
      <c r="BA32" s="40"/>
      <c r="BB32" s="40">
        <f t="shared" si="8"/>
        <v>0</v>
      </c>
      <c r="BD32" s="85">
        <v>48197</v>
      </c>
      <c r="BE32" s="40">
        <v>0</v>
      </c>
      <c r="BF32" s="102"/>
      <c r="BG32" s="40">
        <f t="shared" si="39"/>
        <v>0</v>
      </c>
      <c r="BH32" s="40">
        <v>0</v>
      </c>
      <c r="BI32" s="40"/>
      <c r="BJ32" s="40">
        <f t="shared" si="10"/>
        <v>0</v>
      </c>
      <c r="BL32" s="85">
        <v>48197</v>
      </c>
      <c r="BM32" s="40"/>
      <c r="BN32" s="101"/>
      <c r="BO32" s="40"/>
      <c r="BP32" s="101"/>
      <c r="BQ32" s="40">
        <f t="shared" si="11"/>
        <v>19862625</v>
      </c>
      <c r="BR32" s="40"/>
      <c r="BS32" s="40"/>
      <c r="BT32" s="40">
        <f t="shared" si="12"/>
        <v>19862625</v>
      </c>
      <c r="BV32" s="85">
        <v>48197</v>
      </c>
      <c r="BW32" s="40"/>
      <c r="BX32" s="101"/>
      <c r="BY32" s="40"/>
      <c r="BZ32" s="40"/>
      <c r="CA32" s="40"/>
      <c r="CB32" s="40">
        <f t="shared" si="13"/>
        <v>0</v>
      </c>
      <c r="CD32" s="85">
        <v>48197</v>
      </c>
      <c r="CE32" s="40">
        <v>0</v>
      </c>
      <c r="CG32" s="40">
        <v>4750125</v>
      </c>
      <c r="CH32" s="40">
        <v>0</v>
      </c>
      <c r="CI32" s="40"/>
      <c r="CJ32" s="40">
        <f t="shared" si="14"/>
        <v>4750125</v>
      </c>
      <c r="CL32" s="85">
        <v>48197</v>
      </c>
      <c r="CM32" s="40">
        <v>2705000</v>
      </c>
      <c r="CN32" s="101">
        <v>0.05</v>
      </c>
      <c r="CO32" s="40">
        <v>1713626.25</v>
      </c>
      <c r="CP32" s="40">
        <v>0</v>
      </c>
      <c r="CQ32" s="40">
        <f t="shared" si="15"/>
        <v>4418626.25</v>
      </c>
      <c r="CS32" s="85">
        <v>48197</v>
      </c>
      <c r="CT32" s="40">
        <v>0</v>
      </c>
      <c r="CU32" s="40"/>
      <c r="CV32" s="40">
        <v>3425625</v>
      </c>
      <c r="CW32" s="40">
        <v>0</v>
      </c>
      <c r="CX32" s="40">
        <f t="shared" si="16"/>
        <v>3425625</v>
      </c>
      <c r="CZ32" s="85">
        <v>48197</v>
      </c>
      <c r="DA32" s="40">
        <v>1320000</v>
      </c>
      <c r="DB32" s="101">
        <v>0.05</v>
      </c>
      <c r="DC32" s="40">
        <v>1612500</v>
      </c>
      <c r="DD32" s="40">
        <f t="shared" si="17"/>
        <v>2932500</v>
      </c>
      <c r="DF32" s="85">
        <v>48197</v>
      </c>
      <c r="DG32" s="40">
        <v>0</v>
      </c>
      <c r="DH32" s="87">
        <v>0</v>
      </c>
      <c r="DI32" s="40">
        <f t="shared" si="36"/>
        <v>0</v>
      </c>
      <c r="DJ32" s="40">
        <f t="shared" si="18"/>
        <v>0</v>
      </c>
      <c r="DL32" s="85">
        <v>48197</v>
      </c>
      <c r="DM32" s="40">
        <v>0</v>
      </c>
      <c r="DN32" s="87">
        <v>0</v>
      </c>
      <c r="DO32" s="40"/>
      <c r="DP32" s="40">
        <v>0</v>
      </c>
      <c r="DQ32" s="40">
        <f t="shared" si="19"/>
        <v>0</v>
      </c>
      <c r="DS32" s="85">
        <v>48197</v>
      </c>
      <c r="DU32" s="87"/>
      <c r="DY32" s="85">
        <v>48197</v>
      </c>
      <c r="DZ32" s="40"/>
      <c r="EA32" s="87"/>
      <c r="EB32" s="40"/>
      <c r="EC32" s="40">
        <v>0</v>
      </c>
      <c r="ED32" s="40">
        <f t="shared" si="20"/>
        <v>0</v>
      </c>
      <c r="EF32" s="85">
        <v>48197</v>
      </c>
      <c r="EG32" s="40"/>
      <c r="EH32" s="87"/>
      <c r="EI32" s="40"/>
      <c r="EJ32" s="40">
        <f t="shared" si="21"/>
        <v>0</v>
      </c>
      <c r="EL32" s="85">
        <v>48197</v>
      </c>
      <c r="EM32" s="40">
        <v>5224365.45</v>
      </c>
      <c r="EN32" s="87"/>
      <c r="EO32" s="40">
        <v>0</v>
      </c>
      <c r="EP32" s="40">
        <v>156470634.55000001</v>
      </c>
      <c r="EQ32" s="40">
        <f t="shared" si="22"/>
        <v>161695000</v>
      </c>
      <c r="ES32" s="85">
        <v>48197</v>
      </c>
      <c r="EU32" s="87"/>
      <c r="EX32" s="40">
        <f t="shared" si="23"/>
        <v>0</v>
      </c>
      <c r="EZ32" s="85">
        <v>48197</v>
      </c>
      <c r="FF32" s="85">
        <v>48197</v>
      </c>
      <c r="FJ32" s="40">
        <f t="shared" si="25"/>
        <v>0</v>
      </c>
      <c r="FL32" s="85">
        <v>48197</v>
      </c>
      <c r="FP32" s="40">
        <f t="shared" si="27"/>
        <v>0</v>
      </c>
      <c r="FR32" s="85">
        <v>48197</v>
      </c>
      <c r="FW32" s="40">
        <f t="shared" si="28"/>
        <v>0</v>
      </c>
      <c r="FY32" s="85">
        <v>48197</v>
      </c>
      <c r="GD32" s="40">
        <f t="shared" si="29"/>
        <v>0</v>
      </c>
      <c r="GF32" s="85">
        <v>48197</v>
      </c>
      <c r="GK32" s="40">
        <f t="shared" si="30"/>
        <v>0</v>
      </c>
      <c r="GM32" s="85">
        <v>48197</v>
      </c>
      <c r="GR32" s="40">
        <f t="shared" si="31"/>
        <v>0</v>
      </c>
    </row>
    <row r="33" spans="1:200" x14ac:dyDescent="0.25">
      <c r="A33" s="118">
        <f t="shared" si="37"/>
        <v>51302</v>
      </c>
      <c r="B33" s="85">
        <v>52412</v>
      </c>
      <c r="C33" s="86">
        <f t="shared" si="0"/>
        <v>382572481.25</v>
      </c>
      <c r="D33" s="40">
        <f t="shared" si="1"/>
        <v>0</v>
      </c>
      <c r="F33" s="85">
        <v>48395</v>
      </c>
      <c r="G33" s="85"/>
      <c r="H33" s="85">
        <v>48380</v>
      </c>
      <c r="I33" s="40">
        <f>SUM(Y32,Y33,AG32:AG33,AO32:AO33,AW32:AW33,BE32:BE33,BM32:BM33,BO32:BO33,BW32:BW33,CE32:CE33,CM32:CM33,CT32:CT33,DA32:DA33,DG32:DG33,DM32:DM33,DT32:DT33,DZ32:DZ33,EG32:EG33,EM32:EM33,ET32:ET33,FA32:FA33,FG32:FG33,FM32:FM33,FS32:FS33,FZ32:FZ33,GG32:GG33,GN32:GN33)</f>
        <v>12650996.649999999</v>
      </c>
      <c r="J33" s="40">
        <f>SUM(AA32,AA33,AI32:AI33,AQ32:AQ33,AY32:AY33,BG32:BG33,BQ32:BQ33,BY32:BY33,CG32:CG33,CO32:CO33,CV32:CV33,DC32:DC33,DI32:DI33,DO32:DO33,DV32:DV33,EB32:EB33,EI32:EI33,EO32:EO33,EV32:EV33,FC32:FC33,FI32:FI33,FO32:FO33,FU32:FU33,GB32:GB33,GI32:GI33,GP32:GP33)</f>
        <v>91847677.5</v>
      </c>
      <c r="K33" s="40">
        <f>SUM(AB32,AB33,BR32:BR33,BZ32:BZ33,CH32:CH33,CP32:CP33,CW32:CW33,DP32:DP33,EC32:EC33,EP32:EP33,EW32:EW33,FV32:FV33,GC32:GC33,GJ32:GJ33,GQ32:GQ33)</f>
        <v>249244003.35000002</v>
      </c>
      <c r="L33" s="40">
        <f>SUM(AC32,AC33,AS32:AS33,BA32:BA33,BI32:BI33,BS32:BS33,CA32:CA33,CI32:CI33)</f>
        <v>0</v>
      </c>
      <c r="M33" s="40">
        <f>SUM(I33:L33)</f>
        <v>353742677.5</v>
      </c>
      <c r="O33" s="85">
        <v>48395</v>
      </c>
      <c r="P33" s="85"/>
      <c r="Q33" s="85">
        <v>48380</v>
      </c>
      <c r="R33" s="40">
        <f t="shared" si="33"/>
        <v>3401631.2</v>
      </c>
      <c r="S33" s="40">
        <f t="shared" si="34"/>
        <v>45873526.25</v>
      </c>
      <c r="T33" s="40">
        <f t="shared" si="35"/>
        <v>92773368.799999997</v>
      </c>
      <c r="U33" s="40">
        <f t="shared" si="32"/>
        <v>0</v>
      </c>
      <c r="V33" s="40">
        <f t="shared" si="2"/>
        <v>142048526.25</v>
      </c>
      <c r="X33" s="85">
        <v>48380</v>
      </c>
      <c r="Y33" s="40"/>
      <c r="Z33" s="101"/>
      <c r="AA33" s="40">
        <v>12971900</v>
      </c>
      <c r="AB33" s="40">
        <v>0</v>
      </c>
      <c r="AC33" s="40"/>
      <c r="AD33" s="40">
        <f t="shared" si="3"/>
        <v>12971900</v>
      </c>
      <c r="AF33" s="85">
        <v>48380</v>
      </c>
      <c r="AG33" s="40"/>
      <c r="AH33" s="101"/>
      <c r="AI33" s="40">
        <f t="shared" si="38"/>
        <v>0</v>
      </c>
      <c r="AJ33" s="40">
        <v>0</v>
      </c>
      <c r="AK33" s="40"/>
      <c r="AL33" s="40">
        <f t="shared" si="4"/>
        <v>0</v>
      </c>
      <c r="AN33" s="85">
        <v>48380</v>
      </c>
      <c r="AO33" s="40">
        <v>0</v>
      </c>
      <c r="AP33" s="101"/>
      <c r="AQ33" s="40">
        <f t="shared" si="5"/>
        <v>1637750</v>
      </c>
      <c r="AR33" s="40">
        <v>0</v>
      </c>
      <c r="AS33" s="40"/>
      <c r="AT33" s="40">
        <f t="shared" si="6"/>
        <v>1637750</v>
      </c>
      <c r="AV33" s="85">
        <v>48380</v>
      </c>
      <c r="AW33" s="40">
        <v>0</v>
      </c>
      <c r="AX33" s="102"/>
      <c r="AY33" s="40">
        <f t="shared" si="7"/>
        <v>0</v>
      </c>
      <c r="AZ33" s="40">
        <v>0</v>
      </c>
      <c r="BA33" s="40"/>
      <c r="BB33" s="40">
        <f t="shared" si="8"/>
        <v>0</v>
      </c>
      <c r="BD33" s="85">
        <v>48380</v>
      </c>
      <c r="BE33" s="40">
        <v>0</v>
      </c>
      <c r="BF33" s="102"/>
      <c r="BG33" s="40">
        <f t="shared" si="39"/>
        <v>0</v>
      </c>
      <c r="BH33" s="40">
        <v>0</v>
      </c>
      <c r="BI33" s="40"/>
      <c r="BJ33" s="40">
        <f t="shared" si="10"/>
        <v>0</v>
      </c>
      <c r="BL33" s="85">
        <v>48380</v>
      </c>
      <c r="BM33" s="40"/>
      <c r="BN33" s="101"/>
      <c r="BO33" s="40"/>
      <c r="BP33" s="101"/>
      <c r="BQ33" s="40">
        <f t="shared" si="11"/>
        <v>19862625</v>
      </c>
      <c r="BR33" s="40"/>
      <c r="BS33" s="40"/>
      <c r="BT33" s="40">
        <f t="shared" si="12"/>
        <v>19862625</v>
      </c>
      <c r="BV33" s="85">
        <v>48380</v>
      </c>
      <c r="BW33" s="40"/>
      <c r="BX33" s="101"/>
      <c r="BY33" s="40"/>
      <c r="BZ33" s="40"/>
      <c r="CA33" s="40"/>
      <c r="CB33" s="40">
        <f t="shared" si="13"/>
        <v>0</v>
      </c>
      <c r="CD33" s="85">
        <v>48380</v>
      </c>
      <c r="CE33" s="40">
        <v>0</v>
      </c>
      <c r="CG33" s="40">
        <v>4750125</v>
      </c>
      <c r="CH33" s="40">
        <v>0</v>
      </c>
      <c r="CI33" s="40"/>
      <c r="CJ33" s="40">
        <f t="shared" si="14"/>
        <v>4750125</v>
      </c>
      <c r="CL33" s="85">
        <v>48380</v>
      </c>
      <c r="CM33" s="40">
        <v>0</v>
      </c>
      <c r="CN33" s="101"/>
      <c r="CO33" s="40">
        <v>1646001.25</v>
      </c>
      <c r="CP33" s="40">
        <v>0</v>
      </c>
      <c r="CQ33" s="40">
        <f t="shared" si="15"/>
        <v>1646001.25</v>
      </c>
      <c r="CS33" s="85">
        <v>48380</v>
      </c>
      <c r="CT33" s="40">
        <v>0</v>
      </c>
      <c r="CU33" s="40"/>
      <c r="CV33" s="40">
        <v>3425625</v>
      </c>
      <c r="CW33" s="40">
        <v>0</v>
      </c>
      <c r="CX33" s="40">
        <f t="shared" si="16"/>
        <v>3425625</v>
      </c>
      <c r="CZ33" s="85">
        <v>48380</v>
      </c>
      <c r="DA33" s="40">
        <v>485000</v>
      </c>
      <c r="DB33" s="101">
        <v>0.05</v>
      </c>
      <c r="DC33" s="40">
        <v>1579500</v>
      </c>
      <c r="DD33" s="40">
        <f t="shared" si="17"/>
        <v>2064500</v>
      </c>
      <c r="DF33" s="85">
        <v>48380</v>
      </c>
      <c r="DG33" s="40">
        <v>0</v>
      </c>
      <c r="DH33" s="87">
        <v>0</v>
      </c>
      <c r="DI33" s="40">
        <f t="shared" si="36"/>
        <v>0</v>
      </c>
      <c r="DJ33" s="40">
        <f t="shared" si="18"/>
        <v>0</v>
      </c>
      <c r="DL33" s="85">
        <v>48380</v>
      </c>
      <c r="DM33" s="40">
        <v>0</v>
      </c>
      <c r="DN33" s="87">
        <v>0</v>
      </c>
      <c r="DO33" s="40"/>
      <c r="DP33" s="40">
        <v>0</v>
      </c>
      <c r="DQ33" s="40">
        <f t="shared" si="19"/>
        <v>0</v>
      </c>
      <c r="DS33" s="85">
        <v>48380</v>
      </c>
      <c r="DU33" s="87"/>
      <c r="DY33" s="85">
        <v>48380</v>
      </c>
      <c r="DZ33" s="40"/>
      <c r="EA33" s="87"/>
      <c r="EB33" s="40"/>
      <c r="EC33" s="40">
        <v>0</v>
      </c>
      <c r="ED33" s="40">
        <f t="shared" si="20"/>
        <v>0</v>
      </c>
      <c r="EF33" s="85">
        <v>48380</v>
      </c>
      <c r="EG33" s="40"/>
      <c r="EH33" s="87"/>
      <c r="EI33" s="40"/>
      <c r="EJ33" s="40">
        <f t="shared" si="21"/>
        <v>0</v>
      </c>
      <c r="EL33" s="85">
        <v>48380</v>
      </c>
      <c r="EM33" s="40">
        <v>2916631.2</v>
      </c>
      <c r="EN33" s="87"/>
      <c r="EO33" s="40">
        <v>0</v>
      </c>
      <c r="EP33" s="40">
        <v>92773368.799999997</v>
      </c>
      <c r="EQ33" s="40">
        <f t="shared" si="22"/>
        <v>95690000</v>
      </c>
      <c r="ES33" s="85">
        <v>48380</v>
      </c>
      <c r="EU33" s="87"/>
      <c r="EX33" s="40">
        <f t="shared" si="23"/>
        <v>0</v>
      </c>
      <c r="EZ33" s="85">
        <v>48380</v>
      </c>
      <c r="FF33" s="85">
        <v>48380</v>
      </c>
      <c r="FJ33" s="40">
        <f t="shared" si="25"/>
        <v>0</v>
      </c>
      <c r="FL33" s="85">
        <v>48380</v>
      </c>
      <c r="FP33" s="40">
        <f t="shared" si="27"/>
        <v>0</v>
      </c>
      <c r="FR33" s="85">
        <v>48380</v>
      </c>
      <c r="FW33" s="40">
        <f t="shared" si="28"/>
        <v>0</v>
      </c>
      <c r="FY33" s="85">
        <v>48380</v>
      </c>
      <c r="GD33" s="40">
        <f t="shared" si="29"/>
        <v>0</v>
      </c>
      <c r="GF33" s="85">
        <v>48380</v>
      </c>
      <c r="GK33" s="40">
        <f t="shared" si="30"/>
        <v>0</v>
      </c>
      <c r="GM33" s="85">
        <v>48380</v>
      </c>
      <c r="GR33" s="40">
        <f t="shared" si="31"/>
        <v>0</v>
      </c>
    </row>
    <row r="34" spans="1:200" x14ac:dyDescent="0.25">
      <c r="A34" s="118">
        <f t="shared" si="37"/>
        <v>51667</v>
      </c>
      <c r="B34" s="85">
        <v>52778</v>
      </c>
      <c r="C34" s="86">
        <f t="shared" si="0"/>
        <v>382571715</v>
      </c>
      <c r="D34" s="40">
        <f t="shared" si="1"/>
        <v>0</v>
      </c>
      <c r="F34" s="85">
        <v>48579</v>
      </c>
      <c r="G34" s="85"/>
      <c r="H34" s="85">
        <v>48563</v>
      </c>
      <c r="I34" s="40"/>
      <c r="O34" s="85">
        <v>48579</v>
      </c>
      <c r="P34" s="85"/>
      <c r="Q34" s="85">
        <v>48563</v>
      </c>
      <c r="R34" s="40">
        <f t="shared" si="33"/>
        <v>8868731.25</v>
      </c>
      <c r="S34" s="40">
        <f t="shared" si="34"/>
        <v>45861401.25</v>
      </c>
      <c r="T34" s="40">
        <f t="shared" si="35"/>
        <v>157046268.75</v>
      </c>
      <c r="U34" s="40">
        <f t="shared" si="32"/>
        <v>0</v>
      </c>
      <c r="V34" s="40">
        <f t="shared" si="2"/>
        <v>211776401.25</v>
      </c>
      <c r="X34" s="85">
        <v>48563</v>
      </c>
      <c r="Y34" s="40"/>
      <c r="Z34" s="101"/>
      <c r="AA34" s="40">
        <v>12971900</v>
      </c>
      <c r="AB34" s="40">
        <v>0</v>
      </c>
      <c r="AC34" s="40"/>
      <c r="AD34" s="40">
        <f t="shared" si="3"/>
        <v>12971900</v>
      </c>
      <c r="AF34" s="85">
        <v>48563</v>
      </c>
      <c r="AG34" s="40"/>
      <c r="AH34" s="101"/>
      <c r="AI34" s="40">
        <f t="shared" si="38"/>
        <v>0</v>
      </c>
      <c r="AJ34" s="40">
        <v>0</v>
      </c>
      <c r="AK34" s="40"/>
      <c r="AL34" s="40">
        <f t="shared" si="4"/>
        <v>0</v>
      </c>
      <c r="AN34" s="85">
        <v>48563</v>
      </c>
      <c r="AO34" s="40">
        <v>0</v>
      </c>
      <c r="AP34" s="101"/>
      <c r="AQ34" s="40">
        <f t="shared" si="5"/>
        <v>1637750</v>
      </c>
      <c r="AR34" s="40">
        <v>0</v>
      </c>
      <c r="AS34" s="40"/>
      <c r="AT34" s="40">
        <f t="shared" si="6"/>
        <v>1637750</v>
      </c>
      <c r="AV34" s="85">
        <v>48563</v>
      </c>
      <c r="AW34" s="40">
        <v>0</v>
      </c>
      <c r="AX34" s="102"/>
      <c r="AY34" s="40">
        <f t="shared" si="7"/>
        <v>0</v>
      </c>
      <c r="AZ34" s="40">
        <v>0</v>
      </c>
      <c r="BA34" s="40"/>
      <c r="BB34" s="40">
        <f t="shared" si="8"/>
        <v>0</v>
      </c>
      <c r="BD34" s="85">
        <v>48563</v>
      </c>
      <c r="BE34" s="40">
        <v>0</v>
      </c>
      <c r="BF34" s="102"/>
      <c r="BG34" s="40">
        <f t="shared" si="39"/>
        <v>0</v>
      </c>
      <c r="BH34" s="40">
        <v>0</v>
      </c>
      <c r="BI34" s="40"/>
      <c r="BJ34" s="40">
        <f t="shared" si="10"/>
        <v>0</v>
      </c>
      <c r="BL34" s="85">
        <v>48563</v>
      </c>
      <c r="BM34" s="40"/>
      <c r="BN34" s="101"/>
      <c r="BO34" s="40"/>
      <c r="BP34" s="101"/>
      <c r="BQ34" s="40">
        <f t="shared" si="11"/>
        <v>19862625</v>
      </c>
      <c r="BR34" s="40"/>
      <c r="BS34" s="40"/>
      <c r="BT34" s="40">
        <f t="shared" si="12"/>
        <v>19862625</v>
      </c>
      <c r="BV34" s="85">
        <v>48563</v>
      </c>
      <c r="BW34" s="40"/>
      <c r="BX34" s="101"/>
      <c r="BY34" s="40"/>
      <c r="BZ34" s="40"/>
      <c r="CA34" s="40"/>
      <c r="CB34" s="40">
        <f t="shared" si="13"/>
        <v>0</v>
      </c>
      <c r="CD34" s="85">
        <v>48563</v>
      </c>
      <c r="CE34" s="40">
        <v>0</v>
      </c>
      <c r="CG34" s="40">
        <v>4750125</v>
      </c>
      <c r="CH34" s="40">
        <v>0</v>
      </c>
      <c r="CI34" s="40"/>
      <c r="CJ34" s="40">
        <f t="shared" si="14"/>
        <v>4750125</v>
      </c>
      <c r="CL34" s="85">
        <v>48563</v>
      </c>
      <c r="CM34" s="40">
        <v>2855000</v>
      </c>
      <c r="CN34" s="101">
        <v>0.05</v>
      </c>
      <c r="CO34" s="40">
        <v>1646001.25</v>
      </c>
      <c r="CP34" s="40">
        <v>0</v>
      </c>
      <c r="CQ34" s="40">
        <f t="shared" si="15"/>
        <v>4501001.25</v>
      </c>
      <c r="CS34" s="85">
        <v>48563</v>
      </c>
      <c r="CT34" s="40">
        <v>0</v>
      </c>
      <c r="CU34" s="40"/>
      <c r="CV34" s="40">
        <v>3425625</v>
      </c>
      <c r="CW34" s="40">
        <v>0</v>
      </c>
      <c r="CX34" s="40">
        <f t="shared" si="16"/>
        <v>3425625</v>
      </c>
      <c r="CZ34" s="85">
        <v>48563</v>
      </c>
      <c r="DA34" s="40">
        <v>1365000</v>
      </c>
      <c r="DB34" s="101">
        <v>0.05</v>
      </c>
      <c r="DC34" s="40">
        <v>1567375</v>
      </c>
      <c r="DD34" s="40">
        <f t="shared" si="17"/>
        <v>2932375</v>
      </c>
      <c r="DF34" s="85">
        <v>48563</v>
      </c>
      <c r="DG34" s="40">
        <v>0</v>
      </c>
      <c r="DH34" s="87">
        <v>0</v>
      </c>
      <c r="DI34" s="40">
        <f t="shared" si="36"/>
        <v>0</v>
      </c>
      <c r="DJ34" s="40">
        <f t="shared" si="18"/>
        <v>0</v>
      </c>
      <c r="DL34" s="85">
        <v>48563</v>
      </c>
      <c r="DM34" s="40">
        <v>0</v>
      </c>
      <c r="DN34" s="87">
        <v>0</v>
      </c>
      <c r="DO34" s="40"/>
      <c r="DP34" s="40">
        <v>0</v>
      </c>
      <c r="DQ34" s="40">
        <f t="shared" si="19"/>
        <v>0</v>
      </c>
      <c r="DS34" s="85">
        <v>48563</v>
      </c>
      <c r="DU34" s="87"/>
      <c r="DY34" s="85">
        <v>48563</v>
      </c>
      <c r="DZ34" s="40"/>
      <c r="EA34" s="87"/>
      <c r="EB34" s="40"/>
      <c r="EC34" s="40">
        <v>0</v>
      </c>
      <c r="ED34" s="40">
        <f t="shared" si="20"/>
        <v>0</v>
      </c>
      <c r="EF34" s="85">
        <v>48563</v>
      </c>
      <c r="EG34" s="40"/>
      <c r="EH34" s="87"/>
      <c r="EI34" s="40"/>
      <c r="EJ34" s="40">
        <f t="shared" si="21"/>
        <v>0</v>
      </c>
      <c r="EL34" s="85">
        <v>48563</v>
      </c>
      <c r="EM34" s="40">
        <v>4648731.25</v>
      </c>
      <c r="EN34" s="87"/>
      <c r="EO34" s="40">
        <v>0</v>
      </c>
      <c r="EP34" s="40">
        <v>157046268.75</v>
      </c>
      <c r="EQ34" s="40">
        <f t="shared" si="22"/>
        <v>161695000</v>
      </c>
      <c r="ES34" s="85">
        <v>48563</v>
      </c>
      <c r="EU34" s="87"/>
      <c r="EX34" s="40">
        <f t="shared" si="23"/>
        <v>0</v>
      </c>
      <c r="EZ34" s="85">
        <v>48563</v>
      </c>
      <c r="FF34" s="85">
        <v>48563</v>
      </c>
      <c r="FJ34" s="40">
        <f t="shared" si="25"/>
        <v>0</v>
      </c>
      <c r="FL34" s="85">
        <v>48563</v>
      </c>
      <c r="FP34" s="40">
        <f t="shared" si="27"/>
        <v>0</v>
      </c>
      <c r="FR34" s="85">
        <v>48563</v>
      </c>
      <c r="FW34" s="40">
        <f t="shared" si="28"/>
        <v>0</v>
      </c>
      <c r="FY34" s="85">
        <v>48563</v>
      </c>
      <c r="GD34" s="40">
        <f t="shared" si="29"/>
        <v>0</v>
      </c>
      <c r="GF34" s="85">
        <v>48563</v>
      </c>
      <c r="GK34" s="40">
        <f t="shared" si="30"/>
        <v>0</v>
      </c>
      <c r="GM34" s="85">
        <v>48563</v>
      </c>
      <c r="GR34" s="40">
        <f t="shared" si="31"/>
        <v>0</v>
      </c>
    </row>
    <row r="35" spans="1:200" x14ac:dyDescent="0.25">
      <c r="A35" s="118">
        <f t="shared" si="37"/>
        <v>52032</v>
      </c>
      <c r="B35" s="85">
        <v>53143</v>
      </c>
      <c r="C35" s="86">
        <f t="shared" si="0"/>
        <v>382572882.5</v>
      </c>
      <c r="D35" s="40">
        <f t="shared" si="1"/>
        <v>0</v>
      </c>
      <c r="F35" s="85">
        <v>48760</v>
      </c>
      <c r="G35" s="85"/>
      <c r="H35" s="85">
        <v>48745</v>
      </c>
      <c r="I35" s="40">
        <f>SUM(Y34,Y35,AG34:AG35,AO34:AO35,AW34:AW35,BE34:BE35,BM34:BM35,BO34:BO35,BW34:BW35,CE34:CE35,CM34:CM35,CT34:CT35,DA34:DA35,DG34:DG35,DM34:DM35,DT34:DT35,DZ34:DZ35,EG34:EG35,EM34:EM35,ET34:ET35,FA34:FA35,FG34:FG35,FM34:FM35,FS34:FS35,FZ34:FZ35,GG34:GG35,GN34:GN35)</f>
        <v>11998844.050000001</v>
      </c>
      <c r="J35" s="40">
        <f>SUM(AA34,AA35,AI34:AI35,AQ34:AQ35,AY34:AY35,BG34:BG35,BQ34:BQ35,BY34:BY35,CG34:CG35,CO34:CO35,CV34:CV35,DC34:DC35,DI34:DI35,DO34:DO35,DV34:DV35,EB34:EB35,EI34:EI35,EO34:EO35,EV34:EV35,FC34:FC35,FI34:FI35,FO34:FO35,FU34:FU35,GB34:GB35,GI34:GI35,GP34:GP35)</f>
        <v>91617302.5</v>
      </c>
      <c r="K35" s="40">
        <f>SUM(AB34,AB35,BR34:BR35,BZ34:BZ35,CH34:CH35,CP34:CP35,CW34:CW35,DP34:DP35,EC34:EC35,EP34:EP35,EW34:EW35,FV34:FV35,GC34:GC35,GJ34:GJ35,GQ34:GQ35)</f>
        <v>250141155.94999999</v>
      </c>
      <c r="L35" s="40">
        <f>SUM(AC34,AC35,AS34:AS35,BA34:BA35,BI34:BI35,BS34:BS35,CA34:CA35,CI34:CI35)</f>
        <v>0</v>
      </c>
      <c r="M35" s="40">
        <f>SUM(I35:L35)</f>
        <v>353757302.5</v>
      </c>
      <c r="O35" s="85">
        <v>48760</v>
      </c>
      <c r="P35" s="85"/>
      <c r="Q35" s="85">
        <v>48745</v>
      </c>
      <c r="R35" s="40">
        <f t="shared" si="33"/>
        <v>3130112.8</v>
      </c>
      <c r="S35" s="40">
        <f t="shared" si="34"/>
        <v>45755901.25</v>
      </c>
      <c r="T35" s="40">
        <f t="shared" si="35"/>
        <v>93094887.200000003</v>
      </c>
      <c r="U35" s="40">
        <f t="shared" si="32"/>
        <v>0</v>
      </c>
      <c r="V35" s="40">
        <f t="shared" si="2"/>
        <v>141980901.25</v>
      </c>
      <c r="X35" s="85">
        <v>48745</v>
      </c>
      <c r="Y35" s="40"/>
      <c r="Z35" s="101"/>
      <c r="AA35" s="40">
        <v>12971900</v>
      </c>
      <c r="AB35" s="40">
        <v>0</v>
      </c>
      <c r="AC35" s="40"/>
      <c r="AD35" s="40">
        <f t="shared" si="3"/>
        <v>12971900</v>
      </c>
      <c r="AF35" s="85">
        <v>48745</v>
      </c>
      <c r="AG35" s="40"/>
      <c r="AH35" s="101"/>
      <c r="AI35" s="40">
        <f t="shared" si="38"/>
        <v>0</v>
      </c>
      <c r="AJ35" s="40">
        <v>0</v>
      </c>
      <c r="AK35" s="40"/>
      <c r="AL35" s="40">
        <f t="shared" si="4"/>
        <v>0</v>
      </c>
      <c r="AN35" s="85">
        <v>48745</v>
      </c>
      <c r="AO35" s="40">
        <v>0</v>
      </c>
      <c r="AP35" s="101"/>
      <c r="AQ35" s="40">
        <f t="shared" si="5"/>
        <v>1637750</v>
      </c>
      <c r="AR35" s="40">
        <v>0</v>
      </c>
      <c r="AS35" s="40"/>
      <c r="AT35" s="40">
        <f t="shared" si="6"/>
        <v>1637750</v>
      </c>
      <c r="AV35" s="85">
        <v>48745</v>
      </c>
      <c r="AW35" s="40">
        <v>0</v>
      </c>
      <c r="AX35" s="102"/>
      <c r="AY35" s="40">
        <f t="shared" si="7"/>
        <v>0</v>
      </c>
      <c r="AZ35" s="40">
        <v>0</v>
      </c>
      <c r="BA35" s="40"/>
      <c r="BB35" s="40">
        <f t="shared" si="8"/>
        <v>0</v>
      </c>
      <c r="BD35" s="85">
        <v>48745</v>
      </c>
      <c r="BE35" s="40">
        <v>0</v>
      </c>
      <c r="BF35" s="102"/>
      <c r="BG35" s="40">
        <f t="shared" si="39"/>
        <v>0</v>
      </c>
      <c r="BH35" s="40">
        <v>0</v>
      </c>
      <c r="BI35" s="40"/>
      <c r="BJ35" s="40">
        <f t="shared" si="10"/>
        <v>0</v>
      </c>
      <c r="BL35" s="85">
        <v>48745</v>
      </c>
      <c r="BM35" s="40"/>
      <c r="BN35" s="101"/>
      <c r="BO35" s="40"/>
      <c r="BP35" s="101"/>
      <c r="BQ35" s="40">
        <f t="shared" si="11"/>
        <v>19862625</v>
      </c>
      <c r="BR35" s="40"/>
      <c r="BS35" s="40"/>
      <c r="BT35" s="40">
        <f t="shared" si="12"/>
        <v>19862625</v>
      </c>
      <c r="BV35" s="85">
        <v>48745</v>
      </c>
      <c r="BW35" s="40"/>
      <c r="BX35" s="101"/>
      <c r="BY35" s="40"/>
      <c r="BZ35" s="40"/>
      <c r="CA35" s="40"/>
      <c r="CB35" s="40">
        <f t="shared" si="13"/>
        <v>0</v>
      </c>
      <c r="CD35" s="85">
        <v>48745</v>
      </c>
      <c r="CE35" s="40">
        <v>0</v>
      </c>
      <c r="CG35" s="40">
        <v>4750125</v>
      </c>
      <c r="CH35" s="40">
        <v>0</v>
      </c>
      <c r="CI35" s="40"/>
      <c r="CJ35" s="40">
        <f t="shared" si="14"/>
        <v>4750125</v>
      </c>
      <c r="CL35" s="85">
        <v>48745</v>
      </c>
      <c r="CM35" s="40">
        <v>0</v>
      </c>
      <c r="CN35" s="101"/>
      <c r="CO35" s="40">
        <v>1574626.25</v>
      </c>
      <c r="CP35" s="40">
        <v>0</v>
      </c>
      <c r="CQ35" s="40">
        <f t="shared" si="15"/>
        <v>1574626.25</v>
      </c>
      <c r="CS35" s="85">
        <v>48745</v>
      </c>
      <c r="CT35" s="40">
        <v>0</v>
      </c>
      <c r="CU35" s="40"/>
      <c r="CV35" s="40">
        <v>3425625</v>
      </c>
      <c r="CW35" s="40">
        <v>0</v>
      </c>
      <c r="CX35" s="40">
        <f t="shared" si="16"/>
        <v>3425625</v>
      </c>
      <c r="CZ35" s="85">
        <v>48745</v>
      </c>
      <c r="DA35" s="40">
        <v>535000</v>
      </c>
      <c r="DB35" s="101">
        <v>0.05</v>
      </c>
      <c r="DC35" s="40">
        <v>1533250</v>
      </c>
      <c r="DD35" s="40">
        <f t="shared" si="17"/>
        <v>2068250</v>
      </c>
      <c r="DF35" s="85">
        <v>48745</v>
      </c>
      <c r="DG35" s="40">
        <v>0</v>
      </c>
      <c r="DH35" s="87">
        <v>0</v>
      </c>
      <c r="DI35" s="40">
        <f t="shared" si="36"/>
        <v>0</v>
      </c>
      <c r="DJ35" s="40">
        <f t="shared" si="18"/>
        <v>0</v>
      </c>
      <c r="DL35" s="85">
        <v>48745</v>
      </c>
      <c r="DM35" s="40">
        <v>0</v>
      </c>
      <c r="DN35" s="87">
        <v>0</v>
      </c>
      <c r="DO35" s="40"/>
      <c r="DP35" s="40">
        <v>0</v>
      </c>
      <c r="DQ35" s="40">
        <f t="shared" si="19"/>
        <v>0</v>
      </c>
      <c r="DS35" s="85">
        <v>48745</v>
      </c>
      <c r="DU35" s="87"/>
      <c r="DY35" s="85">
        <v>48745</v>
      </c>
      <c r="DZ35" s="40"/>
      <c r="EA35" s="87"/>
      <c r="EB35" s="40"/>
      <c r="EC35" s="40">
        <v>0</v>
      </c>
      <c r="ED35" s="40">
        <f t="shared" si="20"/>
        <v>0</v>
      </c>
      <c r="EF35" s="85">
        <v>48745</v>
      </c>
      <c r="EG35" s="40"/>
      <c r="EH35" s="87"/>
      <c r="EI35" s="40"/>
      <c r="EJ35" s="40">
        <f t="shared" si="21"/>
        <v>0</v>
      </c>
      <c r="EL35" s="85">
        <v>48745</v>
      </c>
      <c r="EM35" s="40">
        <v>2595112.7999999998</v>
      </c>
      <c r="EN35" s="87"/>
      <c r="EO35" s="40">
        <v>0</v>
      </c>
      <c r="EP35" s="40">
        <v>93094887.200000003</v>
      </c>
      <c r="EQ35" s="40">
        <f t="shared" si="22"/>
        <v>95690000</v>
      </c>
      <c r="ES35" s="85">
        <v>48745</v>
      </c>
      <c r="EU35" s="87"/>
      <c r="EX35" s="40">
        <f t="shared" si="23"/>
        <v>0</v>
      </c>
      <c r="EZ35" s="85">
        <v>48745</v>
      </c>
      <c r="FF35" s="85">
        <v>48745</v>
      </c>
      <c r="FJ35" s="40">
        <f t="shared" si="25"/>
        <v>0</v>
      </c>
      <c r="FL35" s="85">
        <v>48745</v>
      </c>
      <c r="FP35" s="40">
        <f t="shared" si="27"/>
        <v>0</v>
      </c>
      <c r="FR35" s="85">
        <v>48745</v>
      </c>
      <c r="FW35" s="40">
        <f t="shared" si="28"/>
        <v>0</v>
      </c>
      <c r="FY35" s="85">
        <v>48745</v>
      </c>
      <c r="GD35" s="40">
        <f t="shared" si="29"/>
        <v>0</v>
      </c>
      <c r="GF35" s="85">
        <v>48745</v>
      </c>
      <c r="GK35" s="40">
        <f t="shared" si="30"/>
        <v>0</v>
      </c>
      <c r="GM35" s="85">
        <v>48745</v>
      </c>
      <c r="GR35" s="40">
        <f t="shared" si="31"/>
        <v>0</v>
      </c>
    </row>
    <row r="36" spans="1:200" x14ac:dyDescent="0.25">
      <c r="A36" s="118">
        <f t="shared" si="37"/>
        <v>52397</v>
      </c>
      <c r="B36" s="85">
        <v>53508</v>
      </c>
      <c r="C36" s="86">
        <f t="shared" si="0"/>
        <v>382570276.25</v>
      </c>
      <c r="D36" s="40">
        <f t="shared" si="1"/>
        <v>0</v>
      </c>
      <c r="F36" s="85">
        <v>48944</v>
      </c>
      <c r="G36" s="85"/>
      <c r="H36" s="85">
        <v>48928</v>
      </c>
      <c r="I36" s="40"/>
      <c r="O36" s="85">
        <v>48944</v>
      </c>
      <c r="P36" s="85"/>
      <c r="Q36" s="85">
        <v>48928</v>
      </c>
      <c r="R36" s="40">
        <f t="shared" si="33"/>
        <v>8542775.0500000007</v>
      </c>
      <c r="S36" s="40">
        <f t="shared" si="34"/>
        <v>45742526.25</v>
      </c>
      <c r="T36" s="40">
        <f t="shared" si="35"/>
        <v>157557224.94999999</v>
      </c>
      <c r="U36" s="40">
        <f t="shared" si="32"/>
        <v>0</v>
      </c>
      <c r="V36" s="40">
        <f t="shared" si="2"/>
        <v>211842526.25</v>
      </c>
      <c r="X36" s="85">
        <v>48928</v>
      </c>
      <c r="Y36" s="40"/>
      <c r="Z36" s="101"/>
      <c r="AA36" s="40">
        <v>12971900</v>
      </c>
      <c r="AB36" s="40">
        <v>0</v>
      </c>
      <c r="AC36" s="40"/>
      <c r="AD36" s="40">
        <f t="shared" si="3"/>
        <v>12971900</v>
      </c>
      <c r="AF36" s="85">
        <v>48928</v>
      </c>
      <c r="AG36" s="40"/>
      <c r="AH36" s="101"/>
      <c r="AI36" s="40">
        <f t="shared" si="38"/>
        <v>0</v>
      </c>
      <c r="AJ36" s="40">
        <v>0</v>
      </c>
      <c r="AK36" s="40"/>
      <c r="AL36" s="40">
        <f t="shared" si="4"/>
        <v>0</v>
      </c>
      <c r="AN36" s="85">
        <v>48928</v>
      </c>
      <c r="AO36" s="40">
        <v>0</v>
      </c>
      <c r="AP36" s="101"/>
      <c r="AQ36" s="40">
        <f t="shared" si="5"/>
        <v>1637750</v>
      </c>
      <c r="AR36" s="40">
        <v>0</v>
      </c>
      <c r="AS36" s="40"/>
      <c r="AT36" s="40">
        <f t="shared" si="6"/>
        <v>1637750</v>
      </c>
      <c r="AV36" s="85">
        <v>48928</v>
      </c>
      <c r="AW36" s="40">
        <v>0</v>
      </c>
      <c r="AX36" s="102"/>
      <c r="AY36" s="40">
        <f t="shared" si="7"/>
        <v>0</v>
      </c>
      <c r="AZ36" s="40">
        <v>0</v>
      </c>
      <c r="BA36" s="40"/>
      <c r="BB36" s="40">
        <f t="shared" si="8"/>
        <v>0</v>
      </c>
      <c r="BD36" s="85">
        <v>48928</v>
      </c>
      <c r="BE36" s="40">
        <v>0</v>
      </c>
      <c r="BF36" s="102"/>
      <c r="BG36" s="40">
        <f t="shared" si="39"/>
        <v>0</v>
      </c>
      <c r="BH36" s="40">
        <v>0</v>
      </c>
      <c r="BI36" s="40"/>
      <c r="BJ36" s="40">
        <f t="shared" si="10"/>
        <v>0</v>
      </c>
      <c r="BL36" s="85">
        <v>48928</v>
      </c>
      <c r="BM36" s="40"/>
      <c r="BN36" s="101"/>
      <c r="BO36" s="40"/>
      <c r="BP36" s="101"/>
      <c r="BQ36" s="40">
        <f t="shared" si="11"/>
        <v>19862625</v>
      </c>
      <c r="BR36" s="40"/>
      <c r="BS36" s="40"/>
      <c r="BT36" s="40">
        <f t="shared" si="12"/>
        <v>19862625</v>
      </c>
      <c r="BV36" s="85">
        <v>48928</v>
      </c>
      <c r="BW36" s="40"/>
      <c r="BX36" s="101"/>
      <c r="BY36" s="40"/>
      <c r="BZ36" s="40"/>
      <c r="CA36" s="40"/>
      <c r="CB36" s="40">
        <f t="shared" si="13"/>
        <v>0</v>
      </c>
      <c r="CD36" s="85">
        <v>48928</v>
      </c>
      <c r="CE36" s="40">
        <v>0</v>
      </c>
      <c r="CG36" s="40">
        <v>4750125</v>
      </c>
      <c r="CH36" s="40">
        <v>0</v>
      </c>
      <c r="CI36" s="40"/>
      <c r="CJ36" s="40">
        <f t="shared" si="14"/>
        <v>4750125</v>
      </c>
      <c r="CL36" s="85">
        <v>48928</v>
      </c>
      <c r="CM36" s="40">
        <v>2995000</v>
      </c>
      <c r="CN36" s="101">
        <v>0.05</v>
      </c>
      <c r="CO36" s="40">
        <v>1574626.25</v>
      </c>
      <c r="CP36" s="40">
        <v>0</v>
      </c>
      <c r="CQ36" s="40">
        <f t="shared" si="15"/>
        <v>4569626.25</v>
      </c>
      <c r="CS36" s="85">
        <v>48928</v>
      </c>
      <c r="CT36" s="40">
        <v>0</v>
      </c>
      <c r="CU36" s="40"/>
      <c r="CV36" s="40">
        <v>3425625</v>
      </c>
      <c r="CW36" s="40">
        <v>0</v>
      </c>
      <c r="CX36" s="40">
        <f t="shared" si="16"/>
        <v>3425625</v>
      </c>
      <c r="CZ36" s="85">
        <v>48928</v>
      </c>
      <c r="DA36" s="40">
        <v>1410000</v>
      </c>
      <c r="DB36" s="101">
        <v>0.05</v>
      </c>
      <c r="DC36" s="40">
        <v>1519875</v>
      </c>
      <c r="DD36" s="40">
        <f t="shared" si="17"/>
        <v>2929875</v>
      </c>
      <c r="DF36" s="85">
        <v>48928</v>
      </c>
      <c r="DG36" s="40">
        <v>0</v>
      </c>
      <c r="DH36" s="87">
        <v>0</v>
      </c>
      <c r="DI36" s="40">
        <f t="shared" si="36"/>
        <v>0</v>
      </c>
      <c r="DJ36" s="40">
        <f t="shared" si="18"/>
        <v>0</v>
      </c>
      <c r="DL36" s="85">
        <v>48928</v>
      </c>
      <c r="DM36" s="40">
        <v>0</v>
      </c>
      <c r="DN36" s="87">
        <v>0</v>
      </c>
      <c r="DO36" s="40"/>
      <c r="DP36" s="40">
        <v>0</v>
      </c>
      <c r="DQ36" s="40">
        <f t="shared" si="19"/>
        <v>0</v>
      </c>
      <c r="DS36" s="85">
        <v>48928</v>
      </c>
      <c r="DU36" s="87"/>
      <c r="DY36" s="85">
        <v>48928</v>
      </c>
      <c r="DZ36" s="40"/>
      <c r="EA36" s="87"/>
      <c r="EB36" s="40"/>
      <c r="EC36" s="40">
        <v>0</v>
      </c>
      <c r="ED36" s="40">
        <f t="shared" si="20"/>
        <v>0</v>
      </c>
      <c r="EF36" s="85">
        <v>48928</v>
      </c>
      <c r="EG36" s="40"/>
      <c r="EH36" s="87"/>
      <c r="EI36" s="40"/>
      <c r="EJ36" s="40">
        <f t="shared" si="21"/>
        <v>0</v>
      </c>
      <c r="EL36" s="85">
        <v>48928</v>
      </c>
      <c r="EM36" s="40">
        <v>4137775.05</v>
      </c>
      <c r="EN36" s="87"/>
      <c r="EO36" s="40">
        <v>0</v>
      </c>
      <c r="EP36" s="40">
        <v>157557224.94999999</v>
      </c>
      <c r="EQ36" s="40">
        <f t="shared" si="22"/>
        <v>161695000</v>
      </c>
      <c r="ES36" s="85">
        <v>48928</v>
      </c>
      <c r="EU36" s="87"/>
      <c r="EX36" s="40">
        <f t="shared" si="23"/>
        <v>0</v>
      </c>
      <c r="EZ36" s="85">
        <v>48928</v>
      </c>
      <c r="FF36" s="85">
        <v>48928</v>
      </c>
      <c r="FJ36" s="40">
        <f t="shared" si="25"/>
        <v>0</v>
      </c>
      <c r="FL36" s="85">
        <v>48928</v>
      </c>
      <c r="FP36" s="40">
        <f t="shared" si="27"/>
        <v>0</v>
      </c>
      <c r="FR36" s="85">
        <v>48928</v>
      </c>
      <c r="FW36" s="40">
        <f t="shared" si="28"/>
        <v>0</v>
      </c>
      <c r="FY36" s="85">
        <v>48928</v>
      </c>
      <c r="GD36" s="40">
        <f t="shared" si="29"/>
        <v>0</v>
      </c>
      <c r="GF36" s="85">
        <v>48928</v>
      </c>
      <c r="GK36" s="40">
        <f t="shared" si="30"/>
        <v>0</v>
      </c>
      <c r="GM36" s="85">
        <v>48928</v>
      </c>
      <c r="GR36" s="40">
        <f t="shared" si="31"/>
        <v>0</v>
      </c>
    </row>
    <row r="37" spans="1:200" x14ac:dyDescent="0.25">
      <c r="A37" s="118">
        <f t="shared" si="37"/>
        <v>52763</v>
      </c>
      <c r="B37" s="85">
        <v>53873</v>
      </c>
      <c r="C37" s="86">
        <f t="shared" si="0"/>
        <v>382569402.5</v>
      </c>
      <c r="D37" s="40">
        <f t="shared" si="1"/>
        <v>0</v>
      </c>
      <c r="F37" s="85">
        <v>49125</v>
      </c>
      <c r="G37" s="85"/>
      <c r="H37" s="85">
        <v>49110</v>
      </c>
      <c r="I37" s="40">
        <f>SUM(Y36,Y37,AG36:AG37,AO36:AO37,AW36:AW37,BE36:BE37,BM36:BM37,BO36:BO37,BW36:BW37,CE36:CE37,CM36:CM37,CT36:CT37,DA36:DA37,DG36:DG37,DM36:DM37,DT36:DT37,DZ36:DZ37,EG36:EG37,EM36:EM37,ET36:ET37,FA36:FA37,FG36:FG37,FM36:FM37,FS36:FS37,FZ36:FZ37,GG36:GG37,GN36:GN37)</f>
        <v>11432731.65</v>
      </c>
      <c r="J37" s="40">
        <f>SUM(AA36,AA37,AI36:AI37,AQ36:AQ37,AY36:AY37,BG36:BG37,BQ36:BQ37,BY36:BY37,CG36:CG37,CO36:CO37,CV36:CV37,DC36:DC37,DI36:DI37,DO36:DO37,DV36:DV37,EB36:EB37,EI36:EI37,EO36:EO37,EV36:EV37,FC36:FC37,FI36:FI37,FO36:FO37,FU36:FU37,GB36:GB37,GI36:GI37,GP36:GP37)</f>
        <v>91374927.5</v>
      </c>
      <c r="K37" s="40">
        <f>SUM(AB36,AB37,BR36:BR37,BZ36:BZ37,CH36:CH37,CP36:CP37,CW36:CW37,DP36:DP37,EC36:EC37,EP36:EP37,EW36:EW37,FV36:FV37,GC36:GC37,GJ36:GJ37,GQ36:GQ37)</f>
        <v>250937268.34999999</v>
      </c>
      <c r="L37" s="40">
        <f>SUM(AC36,AC37,AS36:AS37,BA36:BA37,BI36:BI37,BS36:BS37,CA36:CA37,CI36:CI37)</f>
        <v>0</v>
      </c>
      <c r="M37" s="40">
        <f>SUM(I37:L37)</f>
        <v>353744927.5</v>
      </c>
      <c r="O37" s="85">
        <v>49125</v>
      </c>
      <c r="P37" s="85"/>
      <c r="Q37" s="85">
        <v>49110</v>
      </c>
      <c r="R37" s="40">
        <f t="shared" si="33"/>
        <v>2889956.6</v>
      </c>
      <c r="S37" s="40">
        <f t="shared" si="34"/>
        <v>45632401.25</v>
      </c>
      <c r="T37" s="40">
        <f t="shared" si="35"/>
        <v>93380043.400000006</v>
      </c>
      <c r="U37" s="40">
        <f t="shared" si="32"/>
        <v>0</v>
      </c>
      <c r="V37" s="40">
        <f t="shared" si="2"/>
        <v>141902401.25</v>
      </c>
      <c r="X37" s="85">
        <v>49110</v>
      </c>
      <c r="Y37" s="40"/>
      <c r="Z37" s="101"/>
      <c r="AA37" s="40">
        <v>12971900</v>
      </c>
      <c r="AB37" s="40">
        <v>0</v>
      </c>
      <c r="AC37" s="40"/>
      <c r="AD37" s="40">
        <f t="shared" si="3"/>
        <v>12971900</v>
      </c>
      <c r="AF37" s="85">
        <v>49110</v>
      </c>
      <c r="AG37" s="40"/>
      <c r="AH37" s="101"/>
      <c r="AI37" s="40">
        <f t="shared" si="38"/>
        <v>0</v>
      </c>
      <c r="AJ37" s="40">
        <v>0</v>
      </c>
      <c r="AK37" s="40"/>
      <c r="AL37" s="40">
        <f t="shared" si="4"/>
        <v>0</v>
      </c>
      <c r="AN37" s="85">
        <v>49110</v>
      </c>
      <c r="AO37" s="40">
        <v>0</v>
      </c>
      <c r="AP37" s="101"/>
      <c r="AQ37" s="40">
        <f t="shared" si="5"/>
        <v>1637750</v>
      </c>
      <c r="AR37" s="40">
        <v>0</v>
      </c>
      <c r="AS37" s="40"/>
      <c r="AT37" s="40">
        <f t="shared" si="6"/>
        <v>1637750</v>
      </c>
      <c r="AV37" s="85">
        <v>49110</v>
      </c>
      <c r="AW37" s="40">
        <v>0</v>
      </c>
      <c r="AX37" s="101"/>
      <c r="AY37" s="40">
        <f t="shared" si="7"/>
        <v>0</v>
      </c>
      <c r="AZ37" s="40">
        <v>0</v>
      </c>
      <c r="BA37" s="40"/>
      <c r="BB37" s="40">
        <f t="shared" si="8"/>
        <v>0</v>
      </c>
      <c r="BD37" s="85">
        <v>49110</v>
      </c>
      <c r="BE37" s="40">
        <v>0</v>
      </c>
      <c r="BF37" s="101"/>
      <c r="BG37" s="40">
        <f t="shared" si="39"/>
        <v>0</v>
      </c>
      <c r="BH37" s="40">
        <v>0</v>
      </c>
      <c r="BI37" s="40"/>
      <c r="BJ37" s="40">
        <f t="shared" si="10"/>
        <v>0</v>
      </c>
      <c r="BL37" s="85">
        <v>49110</v>
      </c>
      <c r="BM37" s="40"/>
      <c r="BN37" s="101"/>
      <c r="BO37" s="40"/>
      <c r="BP37" s="101"/>
      <c r="BQ37" s="40">
        <f t="shared" si="11"/>
        <v>19862625</v>
      </c>
      <c r="BR37" s="40"/>
      <c r="BS37" s="40"/>
      <c r="BT37" s="40">
        <f t="shared" si="12"/>
        <v>19862625</v>
      </c>
      <c r="BV37" s="85">
        <v>49110</v>
      </c>
      <c r="BW37" s="40"/>
      <c r="BX37" s="101"/>
      <c r="BY37" s="40"/>
      <c r="BZ37" s="40"/>
      <c r="CA37" s="40"/>
      <c r="CB37" s="40">
        <f t="shared" si="13"/>
        <v>0</v>
      </c>
      <c r="CD37" s="85">
        <v>49110</v>
      </c>
      <c r="CE37" s="40">
        <v>0</v>
      </c>
      <c r="CG37" s="40">
        <v>4750125</v>
      </c>
      <c r="CH37" s="40">
        <v>0</v>
      </c>
      <c r="CI37" s="40"/>
      <c r="CJ37" s="40">
        <f t="shared" si="14"/>
        <v>4750125</v>
      </c>
      <c r="CL37" s="85">
        <v>49110</v>
      </c>
      <c r="CM37" s="40">
        <v>0</v>
      </c>
      <c r="CN37" s="101"/>
      <c r="CO37" s="40">
        <v>1499751.25</v>
      </c>
      <c r="CP37" s="40">
        <v>0</v>
      </c>
      <c r="CQ37" s="40">
        <f t="shared" si="15"/>
        <v>1499751.25</v>
      </c>
      <c r="CS37" s="85">
        <v>49110</v>
      </c>
      <c r="CT37" s="40">
        <v>0</v>
      </c>
      <c r="CU37" s="40"/>
      <c r="CV37" s="40">
        <v>3425625</v>
      </c>
      <c r="CW37" s="40">
        <v>0</v>
      </c>
      <c r="CX37" s="40">
        <f t="shared" si="16"/>
        <v>3425625</v>
      </c>
      <c r="CZ37" s="85">
        <v>49110</v>
      </c>
      <c r="DA37" s="40">
        <v>580000</v>
      </c>
      <c r="DB37" s="101">
        <v>0.05</v>
      </c>
      <c r="DC37" s="40">
        <v>1484625</v>
      </c>
      <c r="DD37" s="40">
        <f t="shared" si="17"/>
        <v>2064625</v>
      </c>
      <c r="DF37" s="85">
        <v>49110</v>
      </c>
      <c r="DG37" s="40">
        <v>0</v>
      </c>
      <c r="DH37" s="87">
        <v>0</v>
      </c>
      <c r="DI37" s="40">
        <f t="shared" si="36"/>
        <v>0</v>
      </c>
      <c r="DJ37" s="40">
        <f t="shared" si="18"/>
        <v>0</v>
      </c>
      <c r="DL37" s="85">
        <v>49110</v>
      </c>
      <c r="DM37" s="40">
        <v>0</v>
      </c>
      <c r="DN37" s="87">
        <v>0</v>
      </c>
      <c r="DO37" s="40"/>
      <c r="DP37" s="40">
        <v>0</v>
      </c>
      <c r="DQ37" s="40">
        <f t="shared" si="19"/>
        <v>0</v>
      </c>
      <c r="DS37" s="85">
        <v>49110</v>
      </c>
      <c r="DU37" s="87"/>
      <c r="DY37" s="85">
        <v>49110</v>
      </c>
      <c r="DZ37" s="40"/>
      <c r="EA37" s="87"/>
      <c r="EB37" s="40"/>
      <c r="EC37" s="40">
        <v>0</v>
      </c>
      <c r="ED37" s="40">
        <f t="shared" si="20"/>
        <v>0</v>
      </c>
      <c r="EF37" s="85">
        <v>49110</v>
      </c>
      <c r="EG37" s="40"/>
      <c r="EH37" s="87"/>
      <c r="EI37" s="40"/>
      <c r="EJ37" s="40">
        <f t="shared" si="21"/>
        <v>0</v>
      </c>
      <c r="EL37" s="85">
        <v>49110</v>
      </c>
      <c r="EM37" s="40">
        <v>2309956.6</v>
      </c>
      <c r="EN37" s="87"/>
      <c r="EO37" s="40">
        <v>0</v>
      </c>
      <c r="EP37" s="40">
        <v>93380043.400000006</v>
      </c>
      <c r="EQ37" s="40">
        <f t="shared" si="22"/>
        <v>95690000</v>
      </c>
      <c r="ES37" s="85">
        <v>49110</v>
      </c>
      <c r="EU37" s="87"/>
      <c r="EX37" s="40">
        <f t="shared" si="23"/>
        <v>0</v>
      </c>
      <c r="EZ37" s="85">
        <v>49110</v>
      </c>
      <c r="FF37" s="85">
        <v>49110</v>
      </c>
      <c r="FJ37" s="40">
        <f t="shared" si="25"/>
        <v>0</v>
      </c>
      <c r="FL37" s="85">
        <v>49110</v>
      </c>
      <c r="FP37" s="40">
        <f t="shared" si="27"/>
        <v>0</v>
      </c>
      <c r="FR37" s="85">
        <v>49110</v>
      </c>
      <c r="FW37" s="40">
        <f t="shared" si="28"/>
        <v>0</v>
      </c>
      <c r="FY37" s="85">
        <v>49110</v>
      </c>
      <c r="GD37" s="40">
        <f t="shared" si="29"/>
        <v>0</v>
      </c>
      <c r="GF37" s="85">
        <v>49110</v>
      </c>
      <c r="GK37" s="40">
        <f t="shared" si="30"/>
        <v>0</v>
      </c>
      <c r="GM37" s="85">
        <v>49110</v>
      </c>
      <c r="GR37" s="40">
        <f t="shared" si="31"/>
        <v>0</v>
      </c>
    </row>
    <row r="38" spans="1:200" x14ac:dyDescent="0.25">
      <c r="A38" s="118">
        <f t="shared" si="37"/>
        <v>53128</v>
      </c>
      <c r="B38" s="85">
        <v>54239</v>
      </c>
      <c r="C38" s="86">
        <f t="shared" si="0"/>
        <v>382572268.75</v>
      </c>
      <c r="D38" s="40">
        <f t="shared" si="1"/>
        <v>0</v>
      </c>
      <c r="F38" s="85">
        <v>49309</v>
      </c>
      <c r="G38" s="85"/>
      <c r="H38" s="85">
        <v>49293</v>
      </c>
      <c r="I38" s="40"/>
      <c r="O38" s="85">
        <v>49309</v>
      </c>
      <c r="P38" s="85"/>
      <c r="Q38" s="85">
        <v>49293</v>
      </c>
      <c r="R38" s="40">
        <f t="shared" si="33"/>
        <v>8301795.1500000004</v>
      </c>
      <c r="S38" s="40">
        <f t="shared" si="34"/>
        <v>45617901.25</v>
      </c>
      <c r="T38" s="40">
        <f t="shared" si="35"/>
        <v>158013204.84999999</v>
      </c>
      <c r="U38" s="40">
        <f t="shared" si="32"/>
        <v>0</v>
      </c>
      <c r="V38" s="40">
        <f t="shared" si="2"/>
        <v>211932901.25</v>
      </c>
      <c r="X38" s="85">
        <v>49293</v>
      </c>
      <c r="Y38" s="40"/>
      <c r="Z38" s="101"/>
      <c r="AA38" s="40">
        <v>12971900</v>
      </c>
      <c r="AB38" s="40">
        <v>0</v>
      </c>
      <c r="AC38" s="40"/>
      <c r="AD38" s="40">
        <f t="shared" si="3"/>
        <v>12971900</v>
      </c>
      <c r="AF38" s="85">
        <v>49293</v>
      </c>
      <c r="AG38" s="40"/>
      <c r="AH38" s="101"/>
      <c r="AI38" s="40">
        <f t="shared" si="38"/>
        <v>0</v>
      </c>
      <c r="AJ38" s="40">
        <v>0</v>
      </c>
      <c r="AK38" s="40"/>
      <c r="AL38" s="40">
        <f t="shared" si="4"/>
        <v>0</v>
      </c>
      <c r="AN38" s="85">
        <v>49293</v>
      </c>
      <c r="AO38" s="40">
        <v>0</v>
      </c>
      <c r="AP38" s="101"/>
      <c r="AQ38" s="40">
        <f t="shared" si="5"/>
        <v>1637750</v>
      </c>
      <c r="AR38" s="40">
        <v>0</v>
      </c>
      <c r="AS38" s="40"/>
      <c r="AT38" s="40">
        <f t="shared" si="6"/>
        <v>1637750</v>
      </c>
      <c r="AV38" s="85">
        <v>49293</v>
      </c>
      <c r="AW38" s="40">
        <v>0</v>
      </c>
      <c r="AX38" s="101"/>
      <c r="AY38" s="40">
        <f t="shared" si="7"/>
        <v>0</v>
      </c>
      <c r="AZ38" s="40">
        <v>0</v>
      </c>
      <c r="BA38" s="40"/>
      <c r="BB38" s="40">
        <f t="shared" si="8"/>
        <v>0</v>
      </c>
      <c r="BD38" s="85">
        <v>49293</v>
      </c>
      <c r="BE38" s="40">
        <v>0</v>
      </c>
      <c r="BF38" s="101"/>
      <c r="BG38" s="40">
        <f t="shared" si="39"/>
        <v>0</v>
      </c>
      <c r="BH38" s="40">
        <v>0</v>
      </c>
      <c r="BI38" s="40"/>
      <c r="BJ38" s="40">
        <f t="shared" si="10"/>
        <v>0</v>
      </c>
      <c r="BL38" s="85">
        <v>49293</v>
      </c>
      <c r="BM38" s="40"/>
      <c r="BN38" s="101"/>
      <c r="BO38" s="40"/>
      <c r="BP38" s="101"/>
      <c r="BQ38" s="40">
        <f t="shared" si="11"/>
        <v>19862625</v>
      </c>
      <c r="BR38" s="40"/>
      <c r="BS38" s="40"/>
      <c r="BT38" s="40">
        <f t="shared" si="12"/>
        <v>19862625</v>
      </c>
      <c r="BV38" s="85">
        <v>49293</v>
      </c>
      <c r="BW38" s="40"/>
      <c r="BX38" s="101"/>
      <c r="BY38" s="40"/>
      <c r="BZ38" s="40"/>
      <c r="CA38" s="40"/>
      <c r="CB38" s="40">
        <f t="shared" si="13"/>
        <v>0</v>
      </c>
      <c r="CD38" s="85">
        <v>49293</v>
      </c>
      <c r="CE38" s="40">
        <v>0</v>
      </c>
      <c r="CG38" s="40">
        <v>4750125</v>
      </c>
      <c r="CH38" s="40">
        <v>0</v>
      </c>
      <c r="CI38" s="40"/>
      <c r="CJ38" s="40">
        <f t="shared" si="14"/>
        <v>4750125</v>
      </c>
      <c r="CL38" s="85">
        <v>49293</v>
      </c>
      <c r="CM38" s="40">
        <v>3160000</v>
      </c>
      <c r="CN38" s="101">
        <v>0.05</v>
      </c>
      <c r="CO38" s="40">
        <v>1499751.25</v>
      </c>
      <c r="CP38" s="40">
        <v>0</v>
      </c>
      <c r="CQ38" s="40">
        <f t="shared" si="15"/>
        <v>4659751.25</v>
      </c>
      <c r="CS38" s="85">
        <v>49293</v>
      </c>
      <c r="CT38" s="40">
        <v>0</v>
      </c>
      <c r="CU38" s="40"/>
      <c r="CV38" s="40">
        <v>3425625</v>
      </c>
      <c r="CW38" s="40">
        <v>0</v>
      </c>
      <c r="CX38" s="40">
        <f t="shared" si="16"/>
        <v>3425625</v>
      </c>
      <c r="CZ38" s="85">
        <v>49293</v>
      </c>
      <c r="DA38" s="40">
        <v>1460000</v>
      </c>
      <c r="DB38" s="101">
        <v>0.05</v>
      </c>
      <c r="DC38" s="40">
        <v>1470125</v>
      </c>
      <c r="DD38" s="40">
        <f t="shared" si="17"/>
        <v>2930125</v>
      </c>
      <c r="DF38" s="85">
        <v>49293</v>
      </c>
      <c r="DG38" s="40">
        <v>0</v>
      </c>
      <c r="DH38" s="87">
        <v>0</v>
      </c>
      <c r="DI38" s="40">
        <f t="shared" si="36"/>
        <v>0</v>
      </c>
      <c r="DJ38" s="40">
        <f t="shared" si="18"/>
        <v>0</v>
      </c>
      <c r="DL38" s="85">
        <v>49293</v>
      </c>
      <c r="DM38" s="40">
        <v>0</v>
      </c>
      <c r="DN38" s="87">
        <v>0</v>
      </c>
      <c r="DO38" s="40"/>
      <c r="DP38" s="40">
        <v>0</v>
      </c>
      <c r="DQ38" s="40">
        <f t="shared" si="19"/>
        <v>0</v>
      </c>
      <c r="DS38" s="85">
        <v>49293</v>
      </c>
      <c r="DU38" s="87"/>
      <c r="DY38" s="85">
        <v>49293</v>
      </c>
      <c r="DZ38" s="40"/>
      <c r="EA38" s="87"/>
      <c r="EB38" s="40"/>
      <c r="EC38" s="40">
        <v>0</v>
      </c>
      <c r="ED38" s="40">
        <f t="shared" si="20"/>
        <v>0</v>
      </c>
      <c r="EF38" s="85">
        <v>49293</v>
      </c>
      <c r="EG38" s="40"/>
      <c r="EH38" s="87"/>
      <c r="EI38" s="40"/>
      <c r="EJ38" s="40">
        <f t="shared" si="21"/>
        <v>0</v>
      </c>
      <c r="EL38" s="85">
        <v>49293</v>
      </c>
      <c r="EM38" s="40">
        <v>3681795.15</v>
      </c>
      <c r="EN38" s="87"/>
      <c r="EO38" s="40">
        <v>0</v>
      </c>
      <c r="EP38" s="40">
        <v>158013204.84999999</v>
      </c>
      <c r="EQ38" s="40">
        <f t="shared" si="22"/>
        <v>161695000</v>
      </c>
      <c r="ES38" s="85">
        <v>49293</v>
      </c>
      <c r="EU38" s="87"/>
      <c r="EX38" s="40">
        <f t="shared" si="23"/>
        <v>0</v>
      </c>
      <c r="EZ38" s="85">
        <v>49293</v>
      </c>
      <c r="FF38" s="85">
        <v>49293</v>
      </c>
      <c r="FJ38" s="40">
        <f t="shared" si="25"/>
        <v>0</v>
      </c>
      <c r="FL38" s="85">
        <v>49293</v>
      </c>
      <c r="FP38" s="40">
        <f t="shared" si="27"/>
        <v>0</v>
      </c>
      <c r="FR38" s="85">
        <v>49293</v>
      </c>
      <c r="FW38" s="40">
        <f t="shared" si="28"/>
        <v>0</v>
      </c>
      <c r="FY38" s="85">
        <v>49293</v>
      </c>
      <c r="GD38" s="40">
        <f t="shared" si="29"/>
        <v>0</v>
      </c>
      <c r="GF38" s="85">
        <v>49293</v>
      </c>
      <c r="GK38" s="40">
        <f t="shared" si="30"/>
        <v>0</v>
      </c>
      <c r="GM38" s="85">
        <v>49293</v>
      </c>
      <c r="GR38" s="40">
        <f t="shared" si="31"/>
        <v>0</v>
      </c>
    </row>
    <row r="39" spans="1:200" x14ac:dyDescent="0.25">
      <c r="A39" s="118">
        <f t="shared" si="37"/>
        <v>53493</v>
      </c>
      <c r="B39" s="85">
        <v>54604</v>
      </c>
      <c r="C39" s="86">
        <f t="shared" si="0"/>
        <v>382571734.30000001</v>
      </c>
      <c r="D39" s="40">
        <f t="shared" si="1"/>
        <v>0</v>
      </c>
      <c r="F39" s="85">
        <v>49490</v>
      </c>
      <c r="G39" s="85"/>
      <c r="H39" s="85">
        <v>49475</v>
      </c>
      <c r="I39" s="40">
        <f>SUM(Y38,Y39,AG38:AG39,AO38:AO39,AW38:AW39,BE38:BE39,BM38:BM39,BO38:BO39,BW38:BW39,CE38:CE39,CM38:CM39,CT38:CT39,DA38:DA39,DG38:DG39,DM38:DM39,DT38:DT39,DZ38:DZ39,EG38:EG39,EM38:EM39,ET38:ET39,FA38:FA39,FG38:FG39,FM38:FM39,FS38:FS39,FZ38:FZ39,GG38:GG39,GN38:GN39)</f>
        <v>10987216.35</v>
      </c>
      <c r="J39" s="40">
        <f>SUM(AA38,AA39,AI38:AI39,AQ38:AQ39,AY38:AY39,BG38:BG39,BQ38:BQ39,BY38:BY39,CG38:CG39,CO38:CO39,CV38:CV39,DC38:DC39,DI38:DI39,DO38:DO39,DV38:DV39,EB38:EB39,EI38:EI39,EO38:EO39,EV38:EV39,FC38:FC39,FI38:FI39,FO38:FO39,FU38:FU39,GB38:GB39,GI38:GI39,GP38:GP39)</f>
        <v>91120302.5</v>
      </c>
      <c r="K39" s="40">
        <f>SUM(AB38,AB39,BR38:BR39,BZ38:BZ39,CH38:CH39,CP38:CP39,CW38:CW39,DP38:DP39,EC38:EC39,EP38:EP39,EW38:EW39,FV38:FV39,GC38:GC39,GJ38:GJ39,GQ38:GQ39)</f>
        <v>251647783.64999998</v>
      </c>
      <c r="L39" s="40">
        <f>SUM(AC38,AC39,AS38:AS39,BA38:BA39,BI38:BI39,BS38:BS39,CA38:CA39,CI38:CI39)</f>
        <v>0</v>
      </c>
      <c r="M39" s="40">
        <f>SUM(I39:L39)</f>
        <v>353755302.5</v>
      </c>
      <c r="O39" s="85">
        <v>49490</v>
      </c>
      <c r="P39" s="85"/>
      <c r="Q39" s="85">
        <v>49475</v>
      </c>
      <c r="R39" s="40">
        <f t="shared" si="33"/>
        <v>2685421.2</v>
      </c>
      <c r="S39" s="40">
        <f t="shared" si="34"/>
        <v>45502401.25</v>
      </c>
      <c r="T39" s="40">
        <f t="shared" si="35"/>
        <v>93634578.799999997</v>
      </c>
      <c r="U39" s="40">
        <f t="shared" si="32"/>
        <v>0</v>
      </c>
      <c r="V39" s="40">
        <f t="shared" si="2"/>
        <v>141822401.25</v>
      </c>
      <c r="X39" s="85">
        <v>49475</v>
      </c>
      <c r="Y39" s="40"/>
      <c r="Z39" s="101"/>
      <c r="AA39" s="40">
        <v>12971900</v>
      </c>
      <c r="AB39" s="40">
        <v>0</v>
      </c>
      <c r="AC39" s="40"/>
      <c r="AD39" s="40">
        <f t="shared" si="3"/>
        <v>12971900</v>
      </c>
      <c r="AF39" s="85">
        <v>49475</v>
      </c>
      <c r="AG39" s="40"/>
      <c r="AH39" s="101"/>
      <c r="AI39" s="40">
        <f t="shared" si="38"/>
        <v>0</v>
      </c>
      <c r="AJ39" s="40">
        <v>0</v>
      </c>
      <c r="AK39" s="40"/>
      <c r="AL39" s="40">
        <f t="shared" si="4"/>
        <v>0</v>
      </c>
      <c r="AN39" s="85">
        <v>49475</v>
      </c>
      <c r="AO39" s="40">
        <v>0</v>
      </c>
      <c r="AP39" s="101"/>
      <c r="AQ39" s="40">
        <f t="shared" si="5"/>
        <v>1637750</v>
      </c>
      <c r="AR39" s="40">
        <v>0</v>
      </c>
      <c r="AS39" s="40"/>
      <c r="AT39" s="40">
        <f t="shared" si="6"/>
        <v>1637750</v>
      </c>
      <c r="AV39" s="85">
        <v>49475</v>
      </c>
      <c r="AW39" s="40">
        <v>0</v>
      </c>
      <c r="AX39" s="101"/>
      <c r="AY39" s="40">
        <f t="shared" si="7"/>
        <v>0</v>
      </c>
      <c r="AZ39" s="40">
        <v>0</v>
      </c>
      <c r="BA39" s="40"/>
      <c r="BB39" s="40">
        <f t="shared" si="8"/>
        <v>0</v>
      </c>
      <c r="BD39" s="85">
        <v>49475</v>
      </c>
      <c r="BE39" s="40">
        <v>0</v>
      </c>
      <c r="BF39" s="101"/>
      <c r="BG39" s="40">
        <f t="shared" si="39"/>
        <v>0</v>
      </c>
      <c r="BH39" s="40">
        <v>0</v>
      </c>
      <c r="BI39" s="40"/>
      <c r="BJ39" s="40">
        <f t="shared" si="10"/>
        <v>0</v>
      </c>
      <c r="BL39" s="85">
        <v>49475</v>
      </c>
      <c r="BM39" s="40"/>
      <c r="BN39" s="101"/>
      <c r="BO39" s="40"/>
      <c r="BP39" s="101"/>
      <c r="BQ39" s="40">
        <f t="shared" si="11"/>
        <v>19862625</v>
      </c>
      <c r="BR39" s="40"/>
      <c r="BS39" s="40"/>
      <c r="BT39" s="40">
        <f t="shared" si="12"/>
        <v>19862625</v>
      </c>
      <c r="BV39" s="85">
        <v>49475</v>
      </c>
      <c r="BW39" s="40"/>
      <c r="BX39" s="101"/>
      <c r="BY39" s="40"/>
      <c r="BZ39" s="40"/>
      <c r="CA39" s="40"/>
      <c r="CB39" s="40">
        <f t="shared" si="13"/>
        <v>0</v>
      </c>
      <c r="CD39" s="85">
        <v>49475</v>
      </c>
      <c r="CE39" s="40">
        <v>0</v>
      </c>
      <c r="CG39" s="40">
        <v>4750125</v>
      </c>
      <c r="CH39" s="40">
        <v>0</v>
      </c>
      <c r="CI39" s="40"/>
      <c r="CJ39" s="40">
        <f t="shared" si="14"/>
        <v>4750125</v>
      </c>
      <c r="CL39" s="85">
        <v>49475</v>
      </c>
      <c r="CM39" s="40">
        <v>0</v>
      </c>
      <c r="CN39" s="101"/>
      <c r="CO39" s="40">
        <v>1420751.25</v>
      </c>
      <c r="CP39" s="40">
        <v>0</v>
      </c>
      <c r="CQ39" s="40">
        <f t="shared" si="15"/>
        <v>1420751.25</v>
      </c>
      <c r="CS39" s="85">
        <v>49475</v>
      </c>
      <c r="CT39" s="40">
        <v>0</v>
      </c>
      <c r="CU39" s="40"/>
      <c r="CV39" s="40">
        <v>3425625</v>
      </c>
      <c r="CW39" s="40">
        <v>0</v>
      </c>
      <c r="CX39" s="40">
        <f t="shared" si="16"/>
        <v>3425625</v>
      </c>
      <c r="CZ39" s="85">
        <v>49475</v>
      </c>
      <c r="DA39" s="40">
        <v>630000</v>
      </c>
      <c r="DB39" s="101">
        <v>0.05</v>
      </c>
      <c r="DC39" s="40">
        <v>1433625</v>
      </c>
      <c r="DD39" s="40">
        <f t="shared" si="17"/>
        <v>2063625</v>
      </c>
      <c r="DF39" s="85">
        <v>49475</v>
      </c>
      <c r="DG39" s="40">
        <v>0</v>
      </c>
      <c r="DH39" s="87">
        <v>0</v>
      </c>
      <c r="DI39" s="40">
        <f t="shared" si="36"/>
        <v>0</v>
      </c>
      <c r="DJ39" s="40">
        <f t="shared" si="18"/>
        <v>0</v>
      </c>
      <c r="DL39" s="85">
        <v>49475</v>
      </c>
      <c r="DM39" s="40">
        <v>0</v>
      </c>
      <c r="DN39" s="87">
        <v>0</v>
      </c>
      <c r="DO39" s="40"/>
      <c r="DP39" s="40">
        <v>0</v>
      </c>
      <c r="DQ39" s="40">
        <f t="shared" si="19"/>
        <v>0</v>
      </c>
      <c r="DS39" s="85">
        <v>49475</v>
      </c>
      <c r="DU39" s="87"/>
      <c r="DY39" s="85">
        <v>49475</v>
      </c>
      <c r="DZ39" s="40"/>
      <c r="EA39" s="87"/>
      <c r="EB39" s="40"/>
      <c r="EC39" s="40">
        <v>0</v>
      </c>
      <c r="ED39" s="40">
        <f t="shared" si="20"/>
        <v>0</v>
      </c>
      <c r="EF39" s="85">
        <v>49475</v>
      </c>
      <c r="EG39" s="40"/>
      <c r="EH39" s="87"/>
      <c r="EI39" s="40"/>
      <c r="EJ39" s="40">
        <f t="shared" si="21"/>
        <v>0</v>
      </c>
      <c r="EL39" s="85">
        <v>49475</v>
      </c>
      <c r="EM39" s="40">
        <v>2055421.2</v>
      </c>
      <c r="EN39" s="87"/>
      <c r="EO39" s="40">
        <v>0</v>
      </c>
      <c r="EP39" s="40">
        <v>93634578.799999997</v>
      </c>
      <c r="EQ39" s="40">
        <f t="shared" si="22"/>
        <v>95690000</v>
      </c>
      <c r="ES39" s="85">
        <v>49475</v>
      </c>
      <c r="EU39" s="87"/>
      <c r="EX39" s="40">
        <f t="shared" si="23"/>
        <v>0</v>
      </c>
      <c r="EZ39" s="85">
        <v>49475</v>
      </c>
      <c r="FF39" s="85">
        <v>49475</v>
      </c>
      <c r="FJ39" s="40">
        <f t="shared" si="25"/>
        <v>0</v>
      </c>
      <c r="FL39" s="85">
        <v>49475</v>
      </c>
      <c r="FP39" s="40">
        <f t="shared" si="27"/>
        <v>0</v>
      </c>
      <c r="FR39" s="85">
        <v>49475</v>
      </c>
      <c r="FW39" s="40">
        <f t="shared" si="28"/>
        <v>0</v>
      </c>
      <c r="FY39" s="85">
        <v>49475</v>
      </c>
      <c r="GD39" s="40">
        <f t="shared" si="29"/>
        <v>0</v>
      </c>
      <c r="GF39" s="85">
        <v>49475</v>
      </c>
      <c r="GK39" s="40">
        <f t="shared" si="30"/>
        <v>0</v>
      </c>
      <c r="GM39" s="85">
        <v>49475</v>
      </c>
      <c r="GR39" s="40">
        <f t="shared" si="31"/>
        <v>0</v>
      </c>
    </row>
    <row r="40" spans="1:200" x14ac:dyDescent="0.25">
      <c r="A40" s="118">
        <f t="shared" si="37"/>
        <v>53858</v>
      </c>
      <c r="B40" s="85">
        <v>54969</v>
      </c>
      <c r="C40" s="86">
        <f t="shared" si="0"/>
        <v>382570898.85000002</v>
      </c>
      <c r="D40" s="40">
        <f t="shared" si="1"/>
        <v>0</v>
      </c>
      <c r="F40" s="85">
        <v>49674</v>
      </c>
      <c r="G40" s="85"/>
      <c r="H40" s="85">
        <v>49658</v>
      </c>
      <c r="I40" s="40"/>
      <c r="O40" s="85">
        <v>49674</v>
      </c>
      <c r="P40" s="85"/>
      <c r="Q40" s="85">
        <v>49658</v>
      </c>
      <c r="R40" s="40">
        <f t="shared" si="33"/>
        <v>16618870.300000001</v>
      </c>
      <c r="S40" s="40">
        <f t="shared" si="34"/>
        <v>45486651.25</v>
      </c>
      <c r="T40" s="40">
        <f t="shared" si="35"/>
        <v>164171129.69999999</v>
      </c>
      <c r="U40" s="40">
        <f t="shared" si="32"/>
        <v>0</v>
      </c>
      <c r="V40" s="40">
        <f t="shared" si="2"/>
        <v>226276651.25</v>
      </c>
      <c r="X40" s="85">
        <v>49658</v>
      </c>
      <c r="Y40" s="40">
        <v>10063161.25</v>
      </c>
      <c r="Z40" s="101">
        <v>2.5600000000000001E-2</v>
      </c>
      <c r="AA40" s="40">
        <v>12971900</v>
      </c>
      <c r="AB40" s="40">
        <v>4211838.75</v>
      </c>
      <c r="AC40" s="40"/>
      <c r="AD40" s="40">
        <f t="shared" si="3"/>
        <v>27246900</v>
      </c>
      <c r="AF40" s="85">
        <v>49658</v>
      </c>
      <c r="AG40" s="40"/>
      <c r="AH40" s="101"/>
      <c r="AI40" s="40">
        <f t="shared" si="38"/>
        <v>0</v>
      </c>
      <c r="AJ40" s="40">
        <v>0</v>
      </c>
      <c r="AK40" s="40"/>
      <c r="AL40" s="40">
        <f t="shared" si="4"/>
        <v>0</v>
      </c>
      <c r="AN40" s="85">
        <v>49658</v>
      </c>
      <c r="AO40" s="40">
        <v>0</v>
      </c>
      <c r="AP40" s="101"/>
      <c r="AQ40" s="40">
        <f t="shared" si="5"/>
        <v>1637750</v>
      </c>
      <c r="AR40" s="40">
        <v>0</v>
      </c>
      <c r="AS40" s="40"/>
      <c r="AT40" s="40">
        <f t="shared" si="6"/>
        <v>1637750</v>
      </c>
      <c r="AV40" s="85">
        <v>49658</v>
      </c>
      <c r="AW40" s="40">
        <v>0</v>
      </c>
      <c r="AX40" s="101"/>
      <c r="AY40" s="40">
        <f t="shared" si="7"/>
        <v>0</v>
      </c>
      <c r="AZ40" s="40">
        <v>0</v>
      </c>
      <c r="BA40" s="40"/>
      <c r="BB40" s="40">
        <f t="shared" si="8"/>
        <v>0</v>
      </c>
      <c r="BD40" s="85">
        <v>49658</v>
      </c>
      <c r="BE40" s="40">
        <v>0</v>
      </c>
      <c r="BF40" s="101"/>
      <c r="BG40" s="40">
        <f t="shared" si="39"/>
        <v>0</v>
      </c>
      <c r="BH40" s="40">
        <v>0</v>
      </c>
      <c r="BI40" s="40"/>
      <c r="BJ40" s="40">
        <f t="shared" si="10"/>
        <v>0</v>
      </c>
      <c r="BL40" s="85">
        <v>49658</v>
      </c>
      <c r="BM40" s="40"/>
      <c r="BN40" s="101"/>
      <c r="BO40" s="40"/>
      <c r="BP40" s="101"/>
      <c r="BQ40" s="40">
        <f t="shared" si="11"/>
        <v>19862625</v>
      </c>
      <c r="BR40" s="40"/>
      <c r="BS40" s="40"/>
      <c r="BT40" s="40">
        <f t="shared" si="12"/>
        <v>19862625</v>
      </c>
      <c r="BV40" s="85">
        <v>49658</v>
      </c>
      <c r="BW40" s="40"/>
      <c r="BX40" s="101"/>
      <c r="BY40" s="40"/>
      <c r="BZ40" s="40"/>
      <c r="CA40" s="40"/>
      <c r="CB40" s="40">
        <f t="shared" ref="CB40:CB71" si="40">SUM(BW40,BY40,BZ40,CA40)</f>
        <v>0</v>
      </c>
      <c r="CD40" s="85">
        <v>49658</v>
      </c>
      <c r="CE40" s="40">
        <v>0</v>
      </c>
      <c r="CG40" s="40">
        <v>4750125</v>
      </c>
      <c r="CH40" s="40">
        <v>0</v>
      </c>
      <c r="CI40" s="40"/>
      <c r="CJ40" s="40">
        <f t="shared" si="14"/>
        <v>4750125</v>
      </c>
      <c r="CL40" s="85">
        <v>49658</v>
      </c>
      <c r="CM40" s="40">
        <v>1763151.4</v>
      </c>
      <c r="CN40" s="101">
        <v>4.7E-2</v>
      </c>
      <c r="CO40" s="40">
        <v>1420751.25</v>
      </c>
      <c r="CP40" s="40">
        <v>1541848.6</v>
      </c>
      <c r="CQ40" s="40">
        <f t="shared" si="15"/>
        <v>4725751.25</v>
      </c>
      <c r="CS40" s="85">
        <v>49658</v>
      </c>
      <c r="CT40" s="40">
        <v>0</v>
      </c>
      <c r="CU40" s="40"/>
      <c r="CV40" s="40">
        <v>3425625</v>
      </c>
      <c r="CW40" s="40">
        <v>0</v>
      </c>
      <c r="CX40" s="40">
        <f t="shared" si="16"/>
        <v>3425625</v>
      </c>
      <c r="CZ40" s="85">
        <v>49658</v>
      </c>
      <c r="DA40" s="40">
        <v>1515000</v>
      </c>
      <c r="DB40" s="101">
        <v>0.05</v>
      </c>
      <c r="DC40" s="40">
        <v>1417875</v>
      </c>
      <c r="DD40" s="40">
        <f t="shared" si="17"/>
        <v>2932875</v>
      </c>
      <c r="DF40" s="85">
        <v>49658</v>
      </c>
      <c r="DG40" s="40">
        <v>0</v>
      </c>
      <c r="DH40" s="87">
        <v>0</v>
      </c>
      <c r="DI40" s="40">
        <f t="shared" si="36"/>
        <v>0</v>
      </c>
      <c r="DJ40" s="40">
        <f t="shared" si="18"/>
        <v>0</v>
      </c>
      <c r="DL40" s="85">
        <v>49658</v>
      </c>
      <c r="DM40" s="40">
        <v>0</v>
      </c>
      <c r="DN40" s="87">
        <v>0</v>
      </c>
      <c r="DO40" s="40"/>
      <c r="DP40" s="40">
        <v>0</v>
      </c>
      <c r="DQ40" s="40">
        <f t="shared" si="19"/>
        <v>0</v>
      </c>
      <c r="DS40" s="85">
        <v>49658</v>
      </c>
      <c r="DU40" s="87"/>
      <c r="DY40" s="85">
        <v>49658</v>
      </c>
      <c r="DZ40" s="40"/>
      <c r="EA40" s="87"/>
      <c r="EB40" s="40"/>
      <c r="EC40" s="40">
        <v>0</v>
      </c>
      <c r="ED40" s="40">
        <f t="shared" si="20"/>
        <v>0</v>
      </c>
      <c r="EF40" s="85">
        <v>49658</v>
      </c>
      <c r="EG40" s="40"/>
      <c r="EH40" s="87"/>
      <c r="EI40" s="40"/>
      <c r="EJ40" s="40">
        <f t="shared" si="21"/>
        <v>0</v>
      </c>
      <c r="EL40" s="85">
        <v>49658</v>
      </c>
      <c r="EM40" s="40">
        <v>3277557.65</v>
      </c>
      <c r="EN40" s="87"/>
      <c r="EO40" s="40">
        <v>0</v>
      </c>
      <c r="EP40" s="40">
        <v>158417442.34999999</v>
      </c>
      <c r="EQ40" s="40">
        <f t="shared" si="22"/>
        <v>161695000</v>
      </c>
      <c r="ES40" s="85">
        <v>49658</v>
      </c>
      <c r="EU40" s="87"/>
      <c r="EX40" s="40">
        <f t="shared" si="23"/>
        <v>0</v>
      </c>
      <c r="EZ40" s="85">
        <v>49658</v>
      </c>
      <c r="FF40" s="85">
        <v>49658</v>
      </c>
      <c r="FJ40" s="40">
        <f t="shared" si="25"/>
        <v>0</v>
      </c>
      <c r="FL40" s="85">
        <v>49658</v>
      </c>
      <c r="FP40" s="40">
        <f t="shared" si="27"/>
        <v>0</v>
      </c>
      <c r="FR40" s="85">
        <v>49658</v>
      </c>
      <c r="FW40" s="40">
        <f t="shared" si="28"/>
        <v>0</v>
      </c>
      <c r="FY40" s="85">
        <v>49658</v>
      </c>
      <c r="GD40" s="40">
        <f t="shared" si="29"/>
        <v>0</v>
      </c>
      <c r="GF40" s="85">
        <v>49658</v>
      </c>
      <c r="GK40" s="40">
        <f t="shared" si="30"/>
        <v>0</v>
      </c>
      <c r="GM40" s="85">
        <v>49658</v>
      </c>
      <c r="GR40" s="40">
        <f t="shared" si="31"/>
        <v>0</v>
      </c>
    </row>
    <row r="41" spans="1:200" x14ac:dyDescent="0.25">
      <c r="A41" s="118">
        <f t="shared" si="37"/>
        <v>54224</v>
      </c>
      <c r="B41" s="85">
        <v>55334</v>
      </c>
      <c r="C41" s="86">
        <f t="shared" si="0"/>
        <v>382570646.5</v>
      </c>
      <c r="D41" s="40">
        <f t="shared" si="1"/>
        <v>0</v>
      </c>
      <c r="F41" s="85">
        <v>49856</v>
      </c>
      <c r="G41" s="85"/>
      <c r="H41" s="85">
        <v>49841</v>
      </c>
      <c r="I41" s="40">
        <f>SUM(Y40,Y41,AG40:AG41,AO40:AO41,AW40:AW41,BE40:BE41,BM40:BM41,BO40:BO41,BW40:BW41,CE40:CE41,CM40:CM41,CT40:CT41,DA40:DA41,DG40:DG41,DM40:DM41,DT40:DT41,DZ40:DZ41,EG40:EG41,EM40:EM41,ET40:ET41,FA40:FA41,FG40:FG41,FM40:FM41,FS40:FS41,FZ40:FZ41,GG40:GG41,GN40:GN41)</f>
        <v>29203954.599999998</v>
      </c>
      <c r="J41" s="40">
        <f>SUM(AA40,AA41,AI40:AI41,AQ40:AQ41,AY40:AY41,BG40:BG41,BQ40:BQ41,BY40:BY41,CG40:CG41,CO40:CO41,CV40:CV41,DC40:DC41,DI40:DI41,DO40:DO41,DV40:DV41,EB40:EB41,EI40:EI41,EO40:EO41,EV40:EV41,FC40:FC41,FI40:FI41,FO40:FO41,FU40:FU41,GB40:GB41,GI40:GI41,GP40:GP41)</f>
        <v>90857760</v>
      </c>
      <c r="K41" s="40">
        <f>SUM(AB40,AB41,BR40:BR41,BZ40:BZ41,CH40:CH41,CP40:CP41,CW40:CW41,DP40:DP41,EC40:EC41,EP40:EP41,EW40:EW41,FV40:FV41,GC40:GC41,GJ40:GJ41,GQ40:GQ41)</f>
        <v>262511045.39999998</v>
      </c>
      <c r="L41" s="40">
        <f>SUM(AC40,AC41,AS40:AS41,BA40:BA41,BI40:BI41,BS40:BS41,CA40:CA41,CI40:CI41)</f>
        <v>0</v>
      </c>
      <c r="M41" s="40">
        <f>SUM(I41:L41)</f>
        <v>382572760</v>
      </c>
      <c r="O41" s="85">
        <v>49856</v>
      </c>
      <c r="P41" s="85"/>
      <c r="Q41" s="85">
        <v>49841</v>
      </c>
      <c r="R41" s="40">
        <f t="shared" si="33"/>
        <v>12585084.300000001</v>
      </c>
      <c r="S41" s="40">
        <f t="shared" si="34"/>
        <v>45371108.75</v>
      </c>
      <c r="T41" s="40">
        <f t="shared" si="35"/>
        <v>98339915.700000003</v>
      </c>
      <c r="U41" s="40">
        <f t="shared" si="32"/>
        <v>0</v>
      </c>
      <c r="V41" s="40">
        <f t="shared" si="2"/>
        <v>156296108.75</v>
      </c>
      <c r="X41" s="85">
        <v>49841</v>
      </c>
      <c r="Y41" s="40">
        <v>10070491.5</v>
      </c>
      <c r="Z41" s="101">
        <v>2.5999999999999999E-2</v>
      </c>
      <c r="AA41" s="40">
        <v>12971900</v>
      </c>
      <c r="AB41" s="40">
        <v>4479508.5</v>
      </c>
      <c r="AC41" s="40"/>
      <c r="AD41" s="40">
        <f t="shared" si="3"/>
        <v>27521900</v>
      </c>
      <c r="AF41" s="85">
        <v>49841</v>
      </c>
      <c r="AG41" s="40"/>
      <c r="AH41" s="101"/>
      <c r="AI41" s="40">
        <f t="shared" si="38"/>
        <v>0</v>
      </c>
      <c r="AJ41" s="40">
        <v>0</v>
      </c>
      <c r="AK41" s="40"/>
      <c r="AL41" s="40">
        <f t="shared" si="4"/>
        <v>0</v>
      </c>
      <c r="AN41" s="85">
        <v>49841</v>
      </c>
      <c r="AO41" s="40">
        <v>0</v>
      </c>
      <c r="AP41" s="101"/>
      <c r="AQ41" s="40">
        <f t="shared" si="5"/>
        <v>1637750</v>
      </c>
      <c r="AR41" s="40">
        <v>0</v>
      </c>
      <c r="AS41" s="40"/>
      <c r="AT41" s="40">
        <f t="shared" si="6"/>
        <v>1637750</v>
      </c>
      <c r="AV41" s="85">
        <v>49841</v>
      </c>
      <c r="AW41" s="40">
        <v>0</v>
      </c>
      <c r="AX41" s="101"/>
      <c r="AY41" s="40">
        <f t="shared" si="7"/>
        <v>0</v>
      </c>
      <c r="AZ41" s="40">
        <v>0</v>
      </c>
      <c r="BA41" s="40"/>
      <c r="BB41" s="40">
        <f t="shared" si="8"/>
        <v>0</v>
      </c>
      <c r="BD41" s="85">
        <v>49841</v>
      </c>
      <c r="BE41" s="40">
        <v>0</v>
      </c>
      <c r="BF41" s="101"/>
      <c r="BG41" s="40">
        <f t="shared" si="39"/>
        <v>0</v>
      </c>
      <c r="BH41" s="40">
        <v>0</v>
      </c>
      <c r="BI41" s="40"/>
      <c r="BJ41" s="40">
        <f t="shared" si="10"/>
        <v>0</v>
      </c>
      <c r="BL41" s="85">
        <v>49841</v>
      </c>
      <c r="BM41" s="40"/>
      <c r="BN41" s="101"/>
      <c r="BO41" s="40"/>
      <c r="BP41" s="101"/>
      <c r="BQ41" s="40">
        <f t="shared" si="11"/>
        <v>19862625</v>
      </c>
      <c r="BR41" s="40"/>
      <c r="BS41" s="40"/>
      <c r="BT41" s="40">
        <f t="shared" si="12"/>
        <v>19862625</v>
      </c>
      <c r="BV41" s="85">
        <v>49841</v>
      </c>
      <c r="BW41" s="40"/>
      <c r="BX41" s="101"/>
      <c r="BY41" s="40"/>
      <c r="BZ41" s="40"/>
      <c r="CA41" s="40"/>
      <c r="CB41" s="40">
        <f t="shared" si="40"/>
        <v>0</v>
      </c>
      <c r="CD41" s="85">
        <v>49841</v>
      </c>
      <c r="CE41" s="40">
        <v>0</v>
      </c>
      <c r="CG41" s="40">
        <v>4750125</v>
      </c>
      <c r="CH41" s="40">
        <v>0</v>
      </c>
      <c r="CI41" s="40"/>
      <c r="CJ41" s="40">
        <f t="shared" si="14"/>
        <v>4750125</v>
      </c>
      <c r="CL41" s="85">
        <v>49841</v>
      </c>
      <c r="CM41" s="40">
        <v>0</v>
      </c>
      <c r="CN41" s="101"/>
      <c r="CO41" s="40">
        <v>1343083.75</v>
      </c>
      <c r="CP41" s="40">
        <v>0</v>
      </c>
      <c r="CQ41" s="40">
        <f t="shared" si="15"/>
        <v>1343083.75</v>
      </c>
      <c r="CS41" s="85">
        <v>49841</v>
      </c>
      <c r="CT41" s="40">
        <v>0</v>
      </c>
      <c r="CU41" s="40"/>
      <c r="CV41" s="40">
        <v>3425625</v>
      </c>
      <c r="CW41" s="40">
        <v>0</v>
      </c>
      <c r="CX41" s="40">
        <f t="shared" si="16"/>
        <v>3425625</v>
      </c>
      <c r="CZ41" s="85">
        <v>49841</v>
      </c>
      <c r="DA41" s="40">
        <v>685000</v>
      </c>
      <c r="DB41" s="101">
        <v>0.05</v>
      </c>
      <c r="DC41" s="40">
        <v>1380000</v>
      </c>
      <c r="DD41" s="40">
        <f t="shared" si="17"/>
        <v>2065000</v>
      </c>
      <c r="DF41" s="85">
        <v>49841</v>
      </c>
      <c r="DG41" s="40">
        <v>0</v>
      </c>
      <c r="DH41" s="87">
        <v>0</v>
      </c>
      <c r="DI41" s="40">
        <f t="shared" si="36"/>
        <v>0</v>
      </c>
      <c r="DJ41" s="40">
        <f t="shared" si="18"/>
        <v>0</v>
      </c>
      <c r="DL41" s="85">
        <v>49841</v>
      </c>
      <c r="DM41" s="40">
        <v>0</v>
      </c>
      <c r="DN41" s="87">
        <v>0</v>
      </c>
      <c r="DO41" s="40"/>
      <c r="DP41" s="40">
        <v>0</v>
      </c>
      <c r="DQ41" s="40">
        <f t="shared" si="19"/>
        <v>0</v>
      </c>
      <c r="DS41" s="85">
        <v>49841</v>
      </c>
      <c r="DU41" s="87"/>
      <c r="DY41" s="85">
        <v>49841</v>
      </c>
      <c r="DZ41" s="40"/>
      <c r="EA41" s="87"/>
      <c r="EB41" s="40"/>
      <c r="EC41" s="40">
        <v>0</v>
      </c>
      <c r="ED41" s="40">
        <f t="shared" si="20"/>
        <v>0</v>
      </c>
      <c r="EF41" s="85">
        <v>49841</v>
      </c>
      <c r="EG41" s="40"/>
      <c r="EH41" s="87"/>
      <c r="EI41" s="40"/>
      <c r="EJ41" s="40">
        <f t="shared" si="21"/>
        <v>0</v>
      </c>
      <c r="EL41" s="85">
        <v>49841</v>
      </c>
      <c r="EM41" s="40">
        <v>1829592.8</v>
      </c>
      <c r="EN41" s="87"/>
      <c r="EO41" s="40">
        <v>0</v>
      </c>
      <c r="EP41" s="40">
        <v>93860407.200000003</v>
      </c>
      <c r="EQ41" s="40">
        <f t="shared" si="22"/>
        <v>95690000</v>
      </c>
      <c r="ES41" s="85">
        <v>49841</v>
      </c>
      <c r="EU41" s="87"/>
      <c r="EX41" s="40">
        <f t="shared" si="23"/>
        <v>0</v>
      </c>
      <c r="EZ41" s="85">
        <v>49841</v>
      </c>
      <c r="FF41" s="85">
        <v>49841</v>
      </c>
      <c r="FJ41" s="40">
        <f t="shared" si="25"/>
        <v>0</v>
      </c>
      <c r="FL41" s="85">
        <v>49841</v>
      </c>
      <c r="FP41" s="40">
        <f t="shared" si="27"/>
        <v>0</v>
      </c>
      <c r="FR41" s="85">
        <v>49841</v>
      </c>
      <c r="FW41" s="40">
        <f t="shared" si="28"/>
        <v>0</v>
      </c>
      <c r="FY41" s="85">
        <v>49841</v>
      </c>
      <c r="GD41" s="40">
        <f t="shared" si="29"/>
        <v>0</v>
      </c>
      <c r="GF41" s="85">
        <v>49841</v>
      </c>
      <c r="GK41" s="40">
        <f t="shared" si="30"/>
        <v>0</v>
      </c>
      <c r="GM41" s="85">
        <v>49841</v>
      </c>
      <c r="GR41" s="40">
        <f t="shared" si="31"/>
        <v>0</v>
      </c>
    </row>
    <row r="42" spans="1:200" x14ac:dyDescent="0.25">
      <c r="A42" s="118">
        <f t="shared" si="37"/>
        <v>54589</v>
      </c>
      <c r="B42" s="85">
        <v>55700</v>
      </c>
      <c r="C42" s="86">
        <f t="shared" si="0"/>
        <v>382572614.5</v>
      </c>
      <c r="D42" s="40">
        <f t="shared" si="1"/>
        <v>0</v>
      </c>
      <c r="F42" s="85">
        <v>50040</v>
      </c>
      <c r="G42" s="85"/>
      <c r="H42" s="85">
        <v>50024</v>
      </c>
      <c r="I42" s="40"/>
      <c r="O42" s="85">
        <v>50040</v>
      </c>
      <c r="P42" s="85"/>
      <c r="Q42" s="85">
        <v>50024</v>
      </c>
      <c r="R42" s="40">
        <f t="shared" si="33"/>
        <v>16084237.5</v>
      </c>
      <c r="S42" s="40">
        <f t="shared" si="34"/>
        <v>45353983.75</v>
      </c>
      <c r="T42" s="40">
        <f t="shared" si="35"/>
        <v>164935762.5</v>
      </c>
      <c r="U42" s="40">
        <f t="shared" si="32"/>
        <v>0</v>
      </c>
      <c r="V42" s="40">
        <f t="shared" si="2"/>
        <v>226373983.75</v>
      </c>
      <c r="X42" s="85">
        <v>50024</v>
      </c>
      <c r="Y42" s="40">
        <v>9746084.0999999996</v>
      </c>
      <c r="Z42" s="101">
        <v>2.6100000000000002E-2</v>
      </c>
      <c r="AA42" s="40">
        <v>12971900</v>
      </c>
      <c r="AB42" s="40">
        <v>4538915.9000000004</v>
      </c>
      <c r="AC42" s="40"/>
      <c r="AD42" s="40">
        <f t="shared" si="3"/>
        <v>27256900</v>
      </c>
      <c r="AF42" s="85">
        <v>50024</v>
      </c>
      <c r="AG42" s="40"/>
      <c r="AH42" s="101"/>
      <c r="AI42" s="40">
        <f t="shared" si="38"/>
        <v>0</v>
      </c>
      <c r="AJ42" s="40">
        <v>0</v>
      </c>
      <c r="AK42" s="40"/>
      <c r="AL42" s="40">
        <f t="shared" si="4"/>
        <v>0</v>
      </c>
      <c r="AN42" s="85">
        <v>50024</v>
      </c>
      <c r="AO42" s="40">
        <v>0</v>
      </c>
      <c r="AP42" s="101"/>
      <c r="AQ42" s="40">
        <f t="shared" si="5"/>
        <v>1637750</v>
      </c>
      <c r="AR42" s="40">
        <v>0</v>
      </c>
      <c r="AS42" s="40"/>
      <c r="AT42" s="40">
        <f t="shared" si="6"/>
        <v>1637750</v>
      </c>
      <c r="AV42" s="85">
        <v>50024</v>
      </c>
      <c r="AW42" s="40">
        <v>0</v>
      </c>
      <c r="AX42" s="101"/>
      <c r="AY42" s="40">
        <f t="shared" si="7"/>
        <v>0</v>
      </c>
      <c r="AZ42" s="40">
        <v>0</v>
      </c>
      <c r="BA42" s="40"/>
      <c r="BB42" s="40">
        <f t="shared" si="8"/>
        <v>0</v>
      </c>
      <c r="BD42" s="85">
        <v>50024</v>
      </c>
      <c r="BE42" s="40">
        <v>0</v>
      </c>
      <c r="BF42" s="101"/>
      <c r="BG42" s="40">
        <f t="shared" si="39"/>
        <v>0</v>
      </c>
      <c r="BH42" s="40">
        <v>0</v>
      </c>
      <c r="BI42" s="40"/>
      <c r="BJ42" s="40">
        <f t="shared" si="10"/>
        <v>0</v>
      </c>
      <c r="BL42" s="85">
        <v>50024</v>
      </c>
      <c r="BM42" s="40"/>
      <c r="BN42" s="101"/>
      <c r="BO42" s="40"/>
      <c r="BP42" s="101"/>
      <c r="BQ42" s="40">
        <f t="shared" si="11"/>
        <v>19862625</v>
      </c>
      <c r="BR42" s="40"/>
      <c r="BS42" s="40"/>
      <c r="BT42" s="40">
        <f t="shared" si="12"/>
        <v>19862625</v>
      </c>
      <c r="BV42" s="85">
        <v>50024</v>
      </c>
      <c r="BW42" s="40"/>
      <c r="BX42" s="101"/>
      <c r="BY42" s="40"/>
      <c r="BZ42" s="40"/>
      <c r="CA42" s="40"/>
      <c r="CB42" s="40">
        <f t="shared" si="40"/>
        <v>0</v>
      </c>
      <c r="CD42" s="85">
        <v>50024</v>
      </c>
      <c r="CE42" s="40">
        <v>0</v>
      </c>
      <c r="CG42" s="40">
        <v>4750125</v>
      </c>
      <c r="CH42" s="40">
        <v>0</v>
      </c>
      <c r="CI42" s="40"/>
      <c r="CJ42" s="40">
        <f t="shared" si="14"/>
        <v>4750125</v>
      </c>
      <c r="CL42" s="85">
        <v>50024</v>
      </c>
      <c r="CM42" s="40">
        <v>1851175.6</v>
      </c>
      <c r="CN42" s="101">
        <v>4.7E-2</v>
      </c>
      <c r="CO42" s="40">
        <v>1343083.75</v>
      </c>
      <c r="CP42" s="40">
        <v>1618824.4</v>
      </c>
      <c r="CQ42" s="40">
        <f t="shared" si="15"/>
        <v>4813083.75</v>
      </c>
      <c r="CS42" s="85">
        <v>50024</v>
      </c>
      <c r="CT42" s="40">
        <v>0</v>
      </c>
      <c r="CU42" s="40"/>
      <c r="CV42" s="40">
        <v>3425625</v>
      </c>
      <c r="CW42" s="40">
        <v>0</v>
      </c>
      <c r="CX42" s="40">
        <f t="shared" si="16"/>
        <v>3425625</v>
      </c>
      <c r="CZ42" s="85">
        <v>50024</v>
      </c>
      <c r="DA42" s="40">
        <v>1570000</v>
      </c>
      <c r="DB42" s="101">
        <v>0.05</v>
      </c>
      <c r="DC42" s="40">
        <v>1362875</v>
      </c>
      <c r="DD42" s="40">
        <f t="shared" si="17"/>
        <v>2932875</v>
      </c>
      <c r="DF42" s="85">
        <v>50024</v>
      </c>
      <c r="DG42" s="40">
        <v>0</v>
      </c>
      <c r="DH42" s="87">
        <v>0</v>
      </c>
      <c r="DI42" s="40">
        <f t="shared" si="36"/>
        <v>0</v>
      </c>
      <c r="DJ42" s="40">
        <f t="shared" si="18"/>
        <v>0</v>
      </c>
      <c r="DL42" s="85">
        <v>50024</v>
      </c>
      <c r="DM42" s="40">
        <v>0</v>
      </c>
      <c r="DN42" s="87">
        <v>0</v>
      </c>
      <c r="DO42" s="40"/>
      <c r="DP42" s="40">
        <v>0</v>
      </c>
      <c r="DQ42" s="40">
        <f t="shared" si="19"/>
        <v>0</v>
      </c>
      <c r="DS42" s="85">
        <v>50024</v>
      </c>
      <c r="DU42" s="87"/>
      <c r="DY42" s="85">
        <v>50024</v>
      </c>
      <c r="DZ42" s="40"/>
      <c r="EA42" s="87"/>
      <c r="EB42" s="40"/>
      <c r="EC42" s="40">
        <v>0</v>
      </c>
      <c r="ED42" s="40">
        <f t="shared" si="20"/>
        <v>0</v>
      </c>
      <c r="EF42" s="85">
        <v>50024</v>
      </c>
      <c r="EG42" s="40"/>
      <c r="EH42" s="87"/>
      <c r="EI42" s="40"/>
      <c r="EJ42" s="40">
        <f t="shared" si="21"/>
        <v>0</v>
      </c>
      <c r="EL42" s="85">
        <v>50024</v>
      </c>
      <c r="EM42" s="40">
        <v>2916977.8</v>
      </c>
      <c r="EN42" s="87"/>
      <c r="EO42" s="40">
        <v>0</v>
      </c>
      <c r="EP42" s="40">
        <v>158778022.19999999</v>
      </c>
      <c r="EQ42" s="40">
        <f t="shared" si="22"/>
        <v>161695000</v>
      </c>
      <c r="ES42" s="85">
        <v>50024</v>
      </c>
      <c r="EU42" s="87"/>
      <c r="EX42" s="40">
        <f t="shared" si="23"/>
        <v>0</v>
      </c>
      <c r="EZ42" s="85">
        <v>50024</v>
      </c>
      <c r="FF42" s="85">
        <v>50024</v>
      </c>
      <c r="FJ42" s="40">
        <f t="shared" si="25"/>
        <v>0</v>
      </c>
      <c r="FL42" s="85">
        <v>50024</v>
      </c>
      <c r="FP42" s="40">
        <f t="shared" si="27"/>
        <v>0</v>
      </c>
      <c r="FR42" s="85">
        <v>50024</v>
      </c>
      <c r="FW42" s="40">
        <f t="shared" si="28"/>
        <v>0</v>
      </c>
      <c r="FY42" s="85">
        <v>50024</v>
      </c>
      <c r="GD42" s="40">
        <f t="shared" si="29"/>
        <v>0</v>
      </c>
      <c r="GF42" s="85">
        <v>50024</v>
      </c>
      <c r="GK42" s="40">
        <f t="shared" si="30"/>
        <v>0</v>
      </c>
      <c r="GM42" s="85">
        <v>50024</v>
      </c>
      <c r="GR42" s="40">
        <f t="shared" si="31"/>
        <v>0</v>
      </c>
    </row>
    <row r="43" spans="1:200" x14ac:dyDescent="0.25">
      <c r="A43" s="118">
        <f t="shared" si="37"/>
        <v>54954</v>
      </c>
      <c r="B43" s="85">
        <v>56065</v>
      </c>
      <c r="C43" s="86">
        <f t="shared" si="0"/>
        <v>347240548.19999999</v>
      </c>
      <c r="D43" s="40">
        <f t="shared" si="1"/>
        <v>0</v>
      </c>
      <c r="F43" s="85">
        <v>50221</v>
      </c>
      <c r="G43" s="85"/>
      <c r="H43" s="85">
        <v>50206</v>
      </c>
      <c r="I43" s="40">
        <f>SUM(Y42,Y43,AG42:AG43,AO42:AO43,AW42:AW43,BE42:BE43,BM42:BM43,BO42:BO43,BW42:BW43,CE42:CE43,CM42:CM43,CT42:CT43,DA42:DA43,DG42:DG43,DM42:DM43,DT42:DT43,DZ42:DZ43,EG42:EG43,EM42:EM43,ET42:ET43,FA42:FA43,FG42:FG43,FM42:FM43,FS42:FS43,FZ42:FZ43,GG42:GG43,GN42:GN43)</f>
        <v>28197726.700000003</v>
      </c>
      <c r="J43" s="40">
        <f>SUM(AA42,AA43,AI42:AI43,AQ42:AQ43,AY42:AY43,BG42:BG43,BQ42:BQ43,BY42:BY43,CG42:CG43,CO42:CO43,CV42:CV43,DC42:DC43,DI42:DI43,DO42:DO43,DV42:DV43,EB42:EB43,EI42:EI43,EO42:EO43,EV42:EV43,FC42:FC43,FI42:FI43,FO42:FO43,FU42:FU43,GB42:GB43,GI42:GI43,GP42:GP43)</f>
        <v>90587172.5</v>
      </c>
      <c r="K43" s="40">
        <f>SUM(AB42,AB43,BR42:BR43,BZ42:BZ43,CH42:CH43,CP42:CP43,CW42:CW43,DP42:DP43,EC42:EC43,EP42:EP43,EW42:EW43,FV42:FV43,GC42:GC43,GJ42:GJ43,GQ42:GQ43)</f>
        <v>263787273.30000001</v>
      </c>
      <c r="L43" s="40">
        <f>SUM(AC42,AC43,AS42:AS43,BA42:BA43,BI42:BI43,BS42:BS43,CA42:CA43,CI42:CI43)</f>
        <v>0</v>
      </c>
      <c r="M43" s="40">
        <f>SUM(I43:L43)</f>
        <v>382572172.5</v>
      </c>
      <c r="O43" s="85">
        <v>50221</v>
      </c>
      <c r="P43" s="85"/>
      <c r="Q43" s="85">
        <v>50206</v>
      </c>
      <c r="R43" s="40">
        <f t="shared" si="33"/>
        <v>12113489.200000001</v>
      </c>
      <c r="S43" s="40">
        <f t="shared" si="34"/>
        <v>45233188.75</v>
      </c>
      <c r="T43" s="40">
        <f t="shared" si="35"/>
        <v>98851510.799999997</v>
      </c>
      <c r="U43" s="40">
        <f t="shared" si="32"/>
        <v>0</v>
      </c>
      <c r="V43" s="40">
        <f t="shared" si="2"/>
        <v>156198188.75</v>
      </c>
      <c r="X43" s="85">
        <v>50206</v>
      </c>
      <c r="Y43" s="40">
        <v>9744845.4000000004</v>
      </c>
      <c r="Z43" s="101">
        <v>2.64E-2</v>
      </c>
      <c r="AA43" s="40">
        <v>12971900</v>
      </c>
      <c r="AB43" s="40">
        <v>4790154.5999999996</v>
      </c>
      <c r="AC43" s="40"/>
      <c r="AD43" s="40">
        <f t="shared" si="3"/>
        <v>27506900</v>
      </c>
      <c r="AF43" s="85">
        <v>50206</v>
      </c>
      <c r="AG43" s="40"/>
      <c r="AH43" s="101"/>
      <c r="AI43" s="40">
        <f t="shared" si="38"/>
        <v>0</v>
      </c>
      <c r="AJ43" s="40">
        <v>0</v>
      </c>
      <c r="AK43" s="40"/>
      <c r="AL43" s="40">
        <f t="shared" si="4"/>
        <v>0</v>
      </c>
      <c r="AN43" s="85">
        <v>50206</v>
      </c>
      <c r="AO43" s="40">
        <v>0</v>
      </c>
      <c r="AP43" s="101"/>
      <c r="AQ43" s="40">
        <f t="shared" si="5"/>
        <v>1637750</v>
      </c>
      <c r="AR43" s="40">
        <v>0</v>
      </c>
      <c r="AS43" s="40"/>
      <c r="AT43" s="40">
        <f t="shared" si="6"/>
        <v>1637750</v>
      </c>
      <c r="AV43" s="85">
        <v>50206</v>
      </c>
      <c r="AW43" s="40">
        <v>0</v>
      </c>
      <c r="AX43" s="101"/>
      <c r="AY43" s="40">
        <f t="shared" si="7"/>
        <v>0</v>
      </c>
      <c r="AZ43" s="40">
        <v>0</v>
      </c>
      <c r="BA43" s="40"/>
      <c r="BB43" s="40">
        <f t="shared" si="8"/>
        <v>0</v>
      </c>
      <c r="BD43" s="85">
        <v>50206</v>
      </c>
      <c r="BE43" s="40">
        <v>0</v>
      </c>
      <c r="BF43" s="101"/>
      <c r="BG43" s="40">
        <f t="shared" si="39"/>
        <v>0</v>
      </c>
      <c r="BH43" s="40">
        <v>0</v>
      </c>
      <c r="BI43" s="40"/>
      <c r="BJ43" s="40">
        <f t="shared" si="10"/>
        <v>0</v>
      </c>
      <c r="BL43" s="85">
        <v>50206</v>
      </c>
      <c r="BM43" s="40"/>
      <c r="BN43" s="101"/>
      <c r="BO43" s="40"/>
      <c r="BP43" s="101"/>
      <c r="BQ43" s="40">
        <f t="shared" si="11"/>
        <v>19862625</v>
      </c>
      <c r="BR43" s="40"/>
      <c r="BS43" s="40"/>
      <c r="BT43" s="40">
        <f t="shared" si="12"/>
        <v>19862625</v>
      </c>
      <c r="BV43" s="85">
        <v>50206</v>
      </c>
      <c r="BW43" s="40"/>
      <c r="BX43" s="101"/>
      <c r="BY43" s="40"/>
      <c r="BZ43" s="40"/>
      <c r="CA43" s="40"/>
      <c r="CB43" s="40">
        <f t="shared" si="40"/>
        <v>0</v>
      </c>
      <c r="CD43" s="85">
        <v>50206</v>
      </c>
      <c r="CE43" s="40">
        <v>0</v>
      </c>
      <c r="CG43" s="40">
        <v>4750125</v>
      </c>
      <c r="CH43" s="40">
        <v>0</v>
      </c>
      <c r="CI43" s="40"/>
      <c r="CJ43" s="40">
        <f t="shared" si="14"/>
        <v>4750125</v>
      </c>
      <c r="CL43" s="85">
        <v>50206</v>
      </c>
      <c r="CM43" s="40">
        <v>0</v>
      </c>
      <c r="CN43" s="101"/>
      <c r="CO43" s="40">
        <v>1261538.75</v>
      </c>
      <c r="CP43" s="40">
        <v>0</v>
      </c>
      <c r="CQ43" s="40">
        <f t="shared" si="15"/>
        <v>1261538.75</v>
      </c>
      <c r="CS43" s="85">
        <v>50206</v>
      </c>
      <c r="CT43" s="40">
        <v>0</v>
      </c>
      <c r="CU43" s="40"/>
      <c r="CV43" s="40">
        <v>3425625</v>
      </c>
      <c r="CW43" s="40">
        <v>0</v>
      </c>
      <c r="CX43" s="40">
        <f t="shared" si="16"/>
        <v>3425625</v>
      </c>
      <c r="CZ43" s="85">
        <v>50206</v>
      </c>
      <c r="DA43" s="40">
        <v>740000</v>
      </c>
      <c r="DB43" s="101">
        <v>0.05</v>
      </c>
      <c r="DC43" s="40">
        <v>1323625</v>
      </c>
      <c r="DD43" s="40">
        <f t="shared" si="17"/>
        <v>2063625</v>
      </c>
      <c r="DF43" s="85">
        <v>50206</v>
      </c>
      <c r="DG43" s="40">
        <v>0</v>
      </c>
      <c r="DH43" s="87">
        <v>0</v>
      </c>
      <c r="DI43" s="40">
        <f t="shared" si="36"/>
        <v>0</v>
      </c>
      <c r="DJ43" s="40">
        <f t="shared" si="18"/>
        <v>0</v>
      </c>
      <c r="DL43" s="85">
        <v>50206</v>
      </c>
      <c r="DM43" s="40">
        <v>0</v>
      </c>
      <c r="DN43" s="87">
        <v>0</v>
      </c>
      <c r="DO43" s="40"/>
      <c r="DP43" s="40">
        <v>0</v>
      </c>
      <c r="DQ43" s="40">
        <f t="shared" si="19"/>
        <v>0</v>
      </c>
      <c r="DS43" s="85">
        <v>50206</v>
      </c>
      <c r="DU43" s="87"/>
      <c r="DY43" s="85">
        <v>50206</v>
      </c>
      <c r="DZ43" s="40"/>
      <c r="EA43" s="87"/>
      <c r="EB43" s="40"/>
      <c r="EC43" s="40">
        <v>0</v>
      </c>
      <c r="ED43" s="40">
        <f t="shared" si="20"/>
        <v>0</v>
      </c>
      <c r="EF43" s="85">
        <v>50206</v>
      </c>
      <c r="EG43" s="40"/>
      <c r="EH43" s="87"/>
      <c r="EI43" s="40"/>
      <c r="EJ43" s="40">
        <f t="shared" si="21"/>
        <v>0</v>
      </c>
      <c r="EL43" s="85">
        <v>50206</v>
      </c>
      <c r="EM43" s="40">
        <v>1628643.8</v>
      </c>
      <c r="EN43" s="87"/>
      <c r="EO43" s="40">
        <v>0</v>
      </c>
      <c r="EP43" s="40">
        <v>94061356.200000003</v>
      </c>
      <c r="EQ43" s="40">
        <f t="shared" si="22"/>
        <v>95690000</v>
      </c>
      <c r="ES43" s="85">
        <v>50206</v>
      </c>
      <c r="EU43" s="87"/>
      <c r="EX43" s="40">
        <f t="shared" si="23"/>
        <v>0</v>
      </c>
      <c r="EZ43" s="85">
        <v>50206</v>
      </c>
      <c r="FF43" s="85">
        <v>50206</v>
      </c>
      <c r="FJ43" s="40">
        <f t="shared" si="25"/>
        <v>0</v>
      </c>
      <c r="FL43" s="85">
        <v>50206</v>
      </c>
      <c r="FP43" s="40">
        <f t="shared" si="27"/>
        <v>0</v>
      </c>
      <c r="FR43" s="85">
        <v>50206</v>
      </c>
      <c r="FW43" s="40">
        <f t="shared" si="28"/>
        <v>0</v>
      </c>
      <c r="FY43" s="85">
        <v>50206</v>
      </c>
      <c r="GD43" s="40">
        <f t="shared" si="29"/>
        <v>0</v>
      </c>
      <c r="GF43" s="85">
        <v>50206</v>
      </c>
      <c r="GK43" s="40">
        <f t="shared" si="30"/>
        <v>0</v>
      </c>
      <c r="GM43" s="85">
        <v>50206</v>
      </c>
      <c r="GR43" s="40">
        <f t="shared" si="31"/>
        <v>0</v>
      </c>
    </row>
    <row r="44" spans="1:200" x14ac:dyDescent="0.25">
      <c r="A44" s="118">
        <f t="shared" si="37"/>
        <v>55319</v>
      </c>
      <c r="B44" s="85">
        <v>56430</v>
      </c>
      <c r="C44" s="86">
        <f t="shared" si="0"/>
        <v>347243507.14999998</v>
      </c>
      <c r="D44" s="40">
        <f t="shared" si="1"/>
        <v>0</v>
      </c>
      <c r="F44" s="85">
        <v>50405</v>
      </c>
      <c r="G44" s="85"/>
      <c r="H44" s="85">
        <v>50389</v>
      </c>
      <c r="I44" s="40"/>
      <c r="O44" s="85">
        <v>50405</v>
      </c>
      <c r="P44" s="85"/>
      <c r="Q44" s="85">
        <v>50389</v>
      </c>
      <c r="R44" s="40">
        <f t="shared" si="33"/>
        <v>15593772.15</v>
      </c>
      <c r="S44" s="40">
        <f t="shared" si="34"/>
        <v>45214688.75</v>
      </c>
      <c r="T44" s="40">
        <f t="shared" si="35"/>
        <v>165641227.84999999</v>
      </c>
      <c r="U44" s="40">
        <f t="shared" si="32"/>
        <v>0</v>
      </c>
      <c r="V44" s="40">
        <f t="shared" ref="V44:V73" si="41">SUM(R44:U44)</f>
        <v>226449688.75</v>
      </c>
      <c r="X44" s="85">
        <v>50389</v>
      </c>
      <c r="Y44" s="40">
        <v>9434367.5999999996</v>
      </c>
      <c r="Z44" s="101">
        <v>2.6499999999999999E-2</v>
      </c>
      <c r="AA44" s="40">
        <v>12971900</v>
      </c>
      <c r="AB44" s="40">
        <v>4845632.4000000004</v>
      </c>
      <c r="AC44" s="40"/>
      <c r="AD44" s="40">
        <f t="shared" si="3"/>
        <v>27251900</v>
      </c>
      <c r="AF44" s="85">
        <v>50389</v>
      </c>
      <c r="AG44" s="40"/>
      <c r="AH44" s="101"/>
      <c r="AI44" s="40">
        <f t="shared" si="38"/>
        <v>0</v>
      </c>
      <c r="AJ44" s="40">
        <v>0</v>
      </c>
      <c r="AK44" s="40"/>
      <c r="AL44" s="40">
        <f t="shared" ref="AL44:AL72" si="42">SUM(AG44,AI44,AJ44,AK44)</f>
        <v>0</v>
      </c>
      <c r="AN44" s="85">
        <v>50389</v>
      </c>
      <c r="AO44" s="40">
        <v>0</v>
      </c>
      <c r="AP44" s="101"/>
      <c r="AQ44" s="40">
        <f t="shared" ref="AQ44:AQ71" si="43">AO44*AP44/2+AQ45</f>
        <v>1637750</v>
      </c>
      <c r="AR44" s="40">
        <v>0</v>
      </c>
      <c r="AS44" s="40"/>
      <c r="AT44" s="40">
        <f t="shared" ref="AT44:AT72" si="44">SUM(AO44,AQ44,AR44,AS44)</f>
        <v>1637750</v>
      </c>
      <c r="AV44" s="85">
        <v>50389</v>
      </c>
      <c r="AW44" s="40">
        <v>0</v>
      </c>
      <c r="AX44" s="101"/>
      <c r="AY44" s="40">
        <f t="shared" si="7"/>
        <v>0</v>
      </c>
      <c r="AZ44" s="40">
        <v>0</v>
      </c>
      <c r="BA44" s="40"/>
      <c r="BB44" s="40">
        <f t="shared" ref="BB44:BB73" si="45">SUM(AW44,AY44,AZ44,BA44)</f>
        <v>0</v>
      </c>
      <c r="BD44" s="85">
        <v>50389</v>
      </c>
      <c r="BE44" s="40">
        <v>0</v>
      </c>
      <c r="BF44" s="101"/>
      <c r="BG44" s="40">
        <f t="shared" si="39"/>
        <v>0</v>
      </c>
      <c r="BH44" s="40">
        <v>0</v>
      </c>
      <c r="BI44" s="40"/>
      <c r="BJ44" s="40">
        <f t="shared" ref="BJ44:BJ73" si="46">SUM(BE44,BG44,BH44,BI44)</f>
        <v>0</v>
      </c>
      <c r="BL44" s="85">
        <v>50389</v>
      </c>
      <c r="BM44" s="40"/>
      <c r="BN44" s="101"/>
      <c r="BO44" s="40"/>
      <c r="BP44" s="101"/>
      <c r="BQ44" s="40">
        <f t="shared" ref="BQ44:BQ69" si="47">(BM44*BN44/2)+(BO44*BP44/2)+BQ45</f>
        <v>19862625</v>
      </c>
      <c r="BR44" s="40"/>
      <c r="BS44" s="40"/>
      <c r="BT44" s="40">
        <f t="shared" ref="BT44:BT72" si="48">SUM(BM44,BO44,BQ44,BR44,BS44)</f>
        <v>19862625</v>
      </c>
      <c r="BV44" s="85">
        <v>50389</v>
      </c>
      <c r="BW44" s="40"/>
      <c r="BX44" s="101"/>
      <c r="BY44" s="40"/>
      <c r="BZ44" s="40"/>
      <c r="CA44" s="40"/>
      <c r="CB44" s="40">
        <f t="shared" si="40"/>
        <v>0</v>
      </c>
      <c r="CD44" s="85">
        <v>50389</v>
      </c>
      <c r="CE44" s="40">
        <v>0</v>
      </c>
      <c r="CG44" s="40">
        <v>4750125</v>
      </c>
      <c r="CH44" s="40">
        <v>0</v>
      </c>
      <c r="CI44" s="40"/>
      <c r="CJ44" s="40">
        <f t="shared" ref="CJ44:CJ72" si="49">SUM(CE44,CG44,CH44,CI44)</f>
        <v>4750125</v>
      </c>
      <c r="CL44" s="85">
        <v>50389</v>
      </c>
      <c r="CM44" s="40">
        <v>1939199.8</v>
      </c>
      <c r="CN44" s="101">
        <v>4.7E-2</v>
      </c>
      <c r="CO44" s="40">
        <v>1261538.75</v>
      </c>
      <c r="CP44" s="40">
        <v>1695800.2</v>
      </c>
      <c r="CQ44" s="40">
        <f t="shared" ref="CQ44:CQ72" si="50">SUM(CM44,CO44,CP44)</f>
        <v>4896538.75</v>
      </c>
      <c r="CS44" s="85">
        <v>50389</v>
      </c>
      <c r="CT44" s="40">
        <v>0</v>
      </c>
      <c r="CU44" s="40"/>
      <c r="CV44" s="40">
        <v>3425625</v>
      </c>
      <c r="CW44" s="40">
        <v>0</v>
      </c>
      <c r="CX44" s="40">
        <f t="shared" ref="CX44:CX72" si="51">SUM(CT44,CV44,CW44)</f>
        <v>3425625</v>
      </c>
      <c r="CZ44" s="85">
        <v>50389</v>
      </c>
      <c r="DA44" s="40">
        <v>1625000</v>
      </c>
      <c r="DB44" s="101">
        <v>0.05</v>
      </c>
      <c r="DC44" s="40">
        <v>1305125</v>
      </c>
      <c r="DD44" s="40">
        <f t="shared" ref="DD44:DD72" si="52">SUM(DA44,DC44)</f>
        <v>2930125</v>
      </c>
      <c r="DF44" s="85">
        <v>50389</v>
      </c>
      <c r="DG44" s="40">
        <v>0</v>
      </c>
      <c r="DH44" s="87">
        <v>0</v>
      </c>
      <c r="DI44" s="40">
        <f t="shared" si="36"/>
        <v>0</v>
      </c>
      <c r="DJ44" s="40">
        <f t="shared" ref="DJ44:DJ72" si="53">SUM(DG44,DI44)</f>
        <v>0</v>
      </c>
      <c r="DL44" s="85">
        <v>50389</v>
      </c>
      <c r="DM44" s="40">
        <v>0</v>
      </c>
      <c r="DN44" s="87">
        <v>0</v>
      </c>
      <c r="DO44" s="40"/>
      <c r="DP44" s="40">
        <v>0</v>
      </c>
      <c r="DQ44" s="40">
        <f t="shared" ref="DQ44:DQ68" si="54">SUM(DM44,DO44,DP44)</f>
        <v>0</v>
      </c>
      <c r="DS44" s="85">
        <v>50389</v>
      </c>
      <c r="DU44" s="87"/>
      <c r="DY44" s="85">
        <v>50389</v>
      </c>
      <c r="DZ44" s="40"/>
      <c r="EA44" s="87"/>
      <c r="EB44" s="40"/>
      <c r="EC44" s="40">
        <v>0</v>
      </c>
      <c r="ED44" s="40">
        <f t="shared" ref="ED44:ED72" si="55">SUM(DZ44,EB44,EC44)</f>
        <v>0</v>
      </c>
      <c r="EF44" s="85">
        <v>50389</v>
      </c>
      <c r="EG44" s="40"/>
      <c r="EH44" s="87"/>
      <c r="EI44" s="40"/>
      <c r="EJ44" s="40">
        <f t="shared" ref="EJ44:EJ72" si="56">SUM(EG44,EI44)</f>
        <v>0</v>
      </c>
      <c r="EL44" s="85">
        <v>50389</v>
      </c>
      <c r="EM44" s="40">
        <v>2595204.75</v>
      </c>
      <c r="EN44" s="87"/>
      <c r="EO44" s="40">
        <v>0</v>
      </c>
      <c r="EP44" s="40">
        <v>159099795.25</v>
      </c>
      <c r="EQ44" s="40">
        <f t="shared" ref="EQ44:EQ72" si="57">SUM(EM44,EO44,EP44)</f>
        <v>161695000</v>
      </c>
      <c r="ES44" s="85">
        <v>50389</v>
      </c>
      <c r="EU44" s="87"/>
      <c r="EX44" s="40">
        <f t="shared" ref="EX44:EX68" si="58">SUM(ET44,EV44,EW44)</f>
        <v>0</v>
      </c>
      <c r="EZ44" s="85">
        <v>50389</v>
      </c>
      <c r="FF44" s="85">
        <v>50389</v>
      </c>
      <c r="FJ44" s="40">
        <f t="shared" ref="FJ44:FJ72" si="59">SUM(FG44,FI44)</f>
        <v>0</v>
      </c>
      <c r="FL44" s="85">
        <v>50389</v>
      </c>
      <c r="FP44" s="40">
        <f t="shared" ref="FP44:FP72" si="60">SUM(FM44,FO44)</f>
        <v>0</v>
      </c>
      <c r="FR44" s="85">
        <v>50389</v>
      </c>
      <c r="FW44" s="40">
        <f t="shared" ref="FW44:FW72" si="61">SUM(FS44,FU44,FV44)</f>
        <v>0</v>
      </c>
      <c r="FY44" s="85">
        <v>50389</v>
      </c>
      <c r="GD44" s="40">
        <f t="shared" ref="GD44:GD72" si="62">SUM(FZ44,GB44,GC44)</f>
        <v>0</v>
      </c>
      <c r="GF44" s="85">
        <v>50389</v>
      </c>
      <c r="GK44" s="40">
        <f t="shared" ref="GK44:GK72" si="63">SUM(GG44,GI44,GJ44)</f>
        <v>0</v>
      </c>
      <c r="GM44" s="85">
        <v>50389</v>
      </c>
      <c r="GR44" s="40">
        <f t="shared" ref="GR44:GR72" si="64">SUM(GN44,GP44,GQ44)</f>
        <v>0</v>
      </c>
    </row>
    <row r="45" spans="1:200" x14ac:dyDescent="0.25">
      <c r="A45" s="118">
        <f t="shared" si="37"/>
        <v>55685</v>
      </c>
      <c r="B45" s="85">
        <v>56795</v>
      </c>
      <c r="C45" s="86">
        <f t="shared" si="0"/>
        <v>347244579.60000002</v>
      </c>
      <c r="D45" s="40">
        <f t="shared" si="1"/>
        <v>0</v>
      </c>
      <c r="F45" s="85">
        <v>50586</v>
      </c>
      <c r="G45" s="85"/>
      <c r="H45" s="85">
        <v>50571</v>
      </c>
      <c r="I45" s="40">
        <f>SUM(Y44,Y45,AG44:AG45,AO44:AO45,AW44:AW45,BE44:BE45,BM44:BM45,BO44:BO45,BW44:BW45,CE44:CE45,CM44:CM45,CT44:CT45,DA44:DA45,DG44:DG45,DM44:DM45,DT44:DT45,DZ44:DZ45,EG44:EG45,EM44:EM45,ET44:ET45,FA44:FA45,FG44:FG45,FM44:FM45,FS44:FS45,FZ44:FZ45,GG44:GG45,GN44:GN45)</f>
        <v>27277670.150000002</v>
      </c>
      <c r="J45" s="40">
        <f>SUM(AA44,AA45,AI44:AI45,AQ44:AQ45,AY44:AY45,BG44:BG45,BQ44:BQ45,BY44:BY45,CG44:CG45,CO44:CO45,CV44:CV45,DC44:DC45,DI44:DI45,DO44:DO45,DV44:DV45,EB44:EB45,EI44:EI45,EO44:EO45,EV44:EV45,FC44:FC45,FI44:FI45,FO44:FO45,FU44:FU45,GB44:GB45,GI44:GI45,GP44:GP45)</f>
        <v>90303330</v>
      </c>
      <c r="K45" s="40">
        <f>SUM(AB44,AB45,BR44:BR45,BZ44:BZ45,CH44:CH45,CP44:CP45,CW44:CW45,DP44:DP45,EC44:EC45,EP44:EP45,EW44:EW45,FV44:FV45,GC44:GC45,GJ44:GJ45,GQ44:GQ45)</f>
        <v>264987329.84999999</v>
      </c>
      <c r="L45" s="40">
        <f>SUM(AC44,AC45,AS44:AS45,BA44:BA45,BI44:BI45,BS44:BS45,CA44:CA45,CI44:CI45)</f>
        <v>0</v>
      </c>
      <c r="M45" s="40">
        <f>SUM(I45:L45)</f>
        <v>382568330</v>
      </c>
      <c r="O45" s="85">
        <v>50586</v>
      </c>
      <c r="P45" s="85"/>
      <c r="Q45" s="85">
        <v>50571</v>
      </c>
      <c r="R45" s="40">
        <f t="shared" si="33"/>
        <v>11683898</v>
      </c>
      <c r="S45" s="40">
        <f t="shared" si="34"/>
        <v>45088641.25</v>
      </c>
      <c r="T45" s="40">
        <f t="shared" si="35"/>
        <v>99346102</v>
      </c>
      <c r="U45" s="40">
        <f t="shared" si="32"/>
        <v>0</v>
      </c>
      <c r="V45" s="40">
        <f t="shared" si="41"/>
        <v>156118641.25</v>
      </c>
      <c r="X45" s="85">
        <v>50571</v>
      </c>
      <c r="Y45" s="40">
        <v>9435151.4000000004</v>
      </c>
      <c r="Z45" s="101">
        <v>2.6800000000000001E-2</v>
      </c>
      <c r="AA45" s="40">
        <v>12971900</v>
      </c>
      <c r="AB45" s="40">
        <v>5104848.5999999996</v>
      </c>
      <c r="AC45" s="40"/>
      <c r="AD45" s="40">
        <f t="shared" si="3"/>
        <v>27511900</v>
      </c>
      <c r="AF45" s="85">
        <v>50571</v>
      </c>
      <c r="AG45" s="40"/>
      <c r="AH45" s="101"/>
      <c r="AI45" s="40">
        <f t="shared" si="38"/>
        <v>0</v>
      </c>
      <c r="AJ45" s="40">
        <v>0</v>
      </c>
      <c r="AK45" s="40"/>
      <c r="AL45" s="40">
        <f t="shared" si="42"/>
        <v>0</v>
      </c>
      <c r="AN45" s="85">
        <v>50571</v>
      </c>
      <c r="AO45" s="40">
        <v>0</v>
      </c>
      <c r="AP45" s="101"/>
      <c r="AQ45" s="40">
        <f t="shared" si="43"/>
        <v>1637750</v>
      </c>
      <c r="AR45" s="40">
        <v>0</v>
      </c>
      <c r="AS45" s="40"/>
      <c r="AT45" s="40">
        <f t="shared" si="44"/>
        <v>1637750</v>
      </c>
      <c r="AV45" s="85">
        <v>50571</v>
      </c>
      <c r="AW45" s="40">
        <v>0</v>
      </c>
      <c r="AX45" s="101"/>
      <c r="AY45" s="40">
        <f t="shared" si="7"/>
        <v>0</v>
      </c>
      <c r="AZ45" s="40">
        <v>0</v>
      </c>
      <c r="BA45" s="40"/>
      <c r="BB45" s="40">
        <f t="shared" si="45"/>
        <v>0</v>
      </c>
      <c r="BD45" s="85">
        <v>50571</v>
      </c>
      <c r="BE45" s="40">
        <v>0</v>
      </c>
      <c r="BF45" s="101"/>
      <c r="BG45" s="40">
        <f t="shared" si="39"/>
        <v>0</v>
      </c>
      <c r="BH45" s="40">
        <v>0</v>
      </c>
      <c r="BI45" s="40"/>
      <c r="BJ45" s="40">
        <f t="shared" si="46"/>
        <v>0</v>
      </c>
      <c r="BL45" s="85">
        <v>50571</v>
      </c>
      <c r="BM45" s="40"/>
      <c r="BN45" s="101"/>
      <c r="BO45" s="40"/>
      <c r="BP45" s="101"/>
      <c r="BQ45" s="40">
        <f t="shared" si="47"/>
        <v>19862625</v>
      </c>
      <c r="BR45" s="40"/>
      <c r="BS45" s="40"/>
      <c r="BT45" s="40">
        <f t="shared" si="48"/>
        <v>19862625</v>
      </c>
      <c r="BV45" s="85">
        <v>50571</v>
      </c>
      <c r="BW45" s="40"/>
      <c r="BX45" s="101"/>
      <c r="BY45" s="40"/>
      <c r="BZ45" s="40"/>
      <c r="CA45" s="40"/>
      <c r="CB45" s="40">
        <f t="shared" si="40"/>
        <v>0</v>
      </c>
      <c r="CD45" s="85">
        <v>50571</v>
      </c>
      <c r="CE45" s="40">
        <v>0</v>
      </c>
      <c r="CG45" s="40">
        <v>4750125</v>
      </c>
      <c r="CH45" s="40">
        <v>0</v>
      </c>
      <c r="CI45" s="40"/>
      <c r="CJ45" s="40">
        <f t="shared" si="49"/>
        <v>4750125</v>
      </c>
      <c r="CL45" s="85">
        <v>50571</v>
      </c>
      <c r="CM45" s="40">
        <v>0</v>
      </c>
      <c r="CN45" s="101"/>
      <c r="CO45" s="40">
        <v>1176116.25</v>
      </c>
      <c r="CP45" s="40">
        <v>0</v>
      </c>
      <c r="CQ45" s="40">
        <f t="shared" si="50"/>
        <v>1176116.25</v>
      </c>
      <c r="CS45" s="85">
        <v>50571</v>
      </c>
      <c r="CT45" s="40">
        <v>0</v>
      </c>
      <c r="CU45" s="40"/>
      <c r="CV45" s="40">
        <v>3425625</v>
      </c>
      <c r="CW45" s="40">
        <v>0</v>
      </c>
      <c r="CX45" s="40">
        <f t="shared" si="51"/>
        <v>3425625</v>
      </c>
      <c r="CZ45" s="85">
        <v>50571</v>
      </c>
      <c r="DA45" s="40">
        <v>800000</v>
      </c>
      <c r="DB45" s="101">
        <v>0.05</v>
      </c>
      <c r="DC45" s="40">
        <v>1264500</v>
      </c>
      <c r="DD45" s="40">
        <f t="shared" si="52"/>
        <v>2064500</v>
      </c>
      <c r="DF45" s="85">
        <v>50571</v>
      </c>
      <c r="DG45" s="40">
        <v>0</v>
      </c>
      <c r="DH45" s="87">
        <v>0</v>
      </c>
      <c r="DI45" s="40">
        <f t="shared" si="36"/>
        <v>0</v>
      </c>
      <c r="DJ45" s="40">
        <f t="shared" si="53"/>
        <v>0</v>
      </c>
      <c r="DL45" s="85">
        <v>50571</v>
      </c>
      <c r="DM45" s="40">
        <v>0</v>
      </c>
      <c r="DN45" s="87">
        <v>0</v>
      </c>
      <c r="DO45" s="40"/>
      <c r="DP45" s="40">
        <v>0</v>
      </c>
      <c r="DQ45" s="40">
        <f t="shared" si="54"/>
        <v>0</v>
      </c>
      <c r="DS45" s="85">
        <v>50571</v>
      </c>
      <c r="DU45" s="87"/>
      <c r="DY45" s="85">
        <v>50571</v>
      </c>
      <c r="DZ45" s="40"/>
      <c r="EA45" s="87"/>
      <c r="EB45" s="40"/>
      <c r="EC45" s="40">
        <v>0</v>
      </c>
      <c r="ED45" s="40">
        <f t="shared" si="55"/>
        <v>0</v>
      </c>
      <c r="EF45" s="85">
        <v>50571</v>
      </c>
      <c r="EG45" s="40"/>
      <c r="EH45" s="87"/>
      <c r="EI45" s="40"/>
      <c r="EJ45" s="40">
        <f t="shared" si="56"/>
        <v>0</v>
      </c>
      <c r="EL45" s="85">
        <v>50571</v>
      </c>
      <c r="EM45" s="40">
        <v>1448746.6</v>
      </c>
      <c r="EN45" s="87"/>
      <c r="EO45" s="40">
        <v>0</v>
      </c>
      <c r="EP45" s="40">
        <v>94241253.400000006</v>
      </c>
      <c r="EQ45" s="40">
        <f t="shared" si="57"/>
        <v>95690000</v>
      </c>
      <c r="ES45" s="85">
        <v>50571</v>
      </c>
      <c r="EU45" s="87"/>
      <c r="EX45" s="40">
        <f t="shared" si="58"/>
        <v>0</v>
      </c>
      <c r="EZ45" s="85">
        <v>50571</v>
      </c>
      <c r="FF45" s="85">
        <v>50571</v>
      </c>
      <c r="FJ45" s="40">
        <f t="shared" si="59"/>
        <v>0</v>
      </c>
      <c r="FL45" s="85">
        <v>50571</v>
      </c>
      <c r="FP45" s="40">
        <f t="shared" si="60"/>
        <v>0</v>
      </c>
      <c r="FR45" s="85">
        <v>50571</v>
      </c>
      <c r="FW45" s="40">
        <f t="shared" si="61"/>
        <v>0</v>
      </c>
      <c r="FY45" s="85">
        <v>50571</v>
      </c>
      <c r="GD45" s="40">
        <f t="shared" si="62"/>
        <v>0</v>
      </c>
      <c r="GF45" s="85">
        <v>50571</v>
      </c>
      <c r="GK45" s="40">
        <f t="shared" si="63"/>
        <v>0</v>
      </c>
      <c r="GM45" s="85">
        <v>50571</v>
      </c>
      <c r="GR45" s="40">
        <f t="shared" si="64"/>
        <v>0</v>
      </c>
    </row>
    <row r="46" spans="1:200" x14ac:dyDescent="0.25">
      <c r="A46" s="118">
        <f t="shared" si="37"/>
        <v>56050</v>
      </c>
      <c r="B46" s="85">
        <v>57161</v>
      </c>
      <c r="C46" s="86">
        <f t="shared" si="0"/>
        <v>347240703.39999998</v>
      </c>
      <c r="D46" s="40">
        <f t="shared" si="1"/>
        <v>0</v>
      </c>
      <c r="F46" s="85">
        <v>50770</v>
      </c>
      <c r="G46" s="85"/>
      <c r="H46" s="85">
        <v>50754</v>
      </c>
      <c r="I46" s="40"/>
      <c r="O46" s="85">
        <v>50770</v>
      </c>
      <c r="P46" s="85"/>
      <c r="Q46" s="85">
        <v>50754</v>
      </c>
      <c r="R46" s="40">
        <f t="shared" si="33"/>
        <v>15116522.100000001</v>
      </c>
      <c r="S46" s="40">
        <f t="shared" si="34"/>
        <v>45068641.25</v>
      </c>
      <c r="T46" s="40">
        <f t="shared" si="35"/>
        <v>166353477.89999998</v>
      </c>
      <c r="U46" s="40">
        <f t="shared" si="32"/>
        <v>0</v>
      </c>
      <c r="V46" s="40">
        <f t="shared" si="41"/>
        <v>226538641.24999997</v>
      </c>
      <c r="X46" s="85">
        <v>50754</v>
      </c>
      <c r="Y46" s="40">
        <v>9125579.25</v>
      </c>
      <c r="Z46" s="101">
        <v>2.69E-2</v>
      </c>
      <c r="AA46" s="40">
        <v>12971900</v>
      </c>
      <c r="AB46" s="40">
        <v>5149420.75</v>
      </c>
      <c r="AC46" s="40"/>
      <c r="AD46" s="40">
        <f t="shared" si="3"/>
        <v>27246900</v>
      </c>
      <c r="AF46" s="85">
        <v>50754</v>
      </c>
      <c r="AG46" s="40"/>
      <c r="AH46" s="101"/>
      <c r="AI46" s="40">
        <f t="shared" si="38"/>
        <v>0</v>
      </c>
      <c r="AJ46" s="40">
        <v>0</v>
      </c>
      <c r="AK46" s="40"/>
      <c r="AL46" s="40">
        <f t="shared" si="42"/>
        <v>0</v>
      </c>
      <c r="AN46" s="85">
        <v>50754</v>
      </c>
      <c r="AO46" s="40">
        <v>0</v>
      </c>
      <c r="AP46" s="101"/>
      <c r="AQ46" s="40">
        <f t="shared" si="43"/>
        <v>1637750</v>
      </c>
      <c r="AR46" s="40">
        <v>0</v>
      </c>
      <c r="AS46" s="40"/>
      <c r="AT46" s="40">
        <f t="shared" si="44"/>
        <v>1637750</v>
      </c>
      <c r="AV46" s="85">
        <v>50754</v>
      </c>
      <c r="AW46" s="40">
        <v>0</v>
      </c>
      <c r="AX46" s="101"/>
      <c r="AY46" s="40">
        <f t="shared" si="7"/>
        <v>0</v>
      </c>
      <c r="AZ46" s="40">
        <v>0</v>
      </c>
      <c r="BA46" s="40"/>
      <c r="BB46" s="40">
        <f t="shared" si="45"/>
        <v>0</v>
      </c>
      <c r="BD46" s="85">
        <v>50754</v>
      </c>
      <c r="BE46" s="40">
        <v>0</v>
      </c>
      <c r="BF46" s="101"/>
      <c r="BG46" s="40">
        <f t="shared" si="39"/>
        <v>0</v>
      </c>
      <c r="BH46" s="40">
        <v>0</v>
      </c>
      <c r="BI46" s="40"/>
      <c r="BJ46" s="40">
        <f t="shared" si="46"/>
        <v>0</v>
      </c>
      <c r="BL46" s="85">
        <v>50754</v>
      </c>
      <c r="BM46" s="40"/>
      <c r="BN46" s="101"/>
      <c r="BO46" s="40"/>
      <c r="BP46" s="101"/>
      <c r="BQ46" s="40">
        <f t="shared" si="47"/>
        <v>19862625</v>
      </c>
      <c r="BR46" s="40"/>
      <c r="BS46" s="40"/>
      <c r="BT46" s="40">
        <f t="shared" si="48"/>
        <v>19862625</v>
      </c>
      <c r="BV46" s="85">
        <v>50754</v>
      </c>
      <c r="BW46" s="40"/>
      <c r="BX46" s="101"/>
      <c r="BY46" s="40"/>
      <c r="BZ46" s="40"/>
      <c r="CA46" s="40"/>
      <c r="CB46" s="40">
        <f t="shared" si="40"/>
        <v>0</v>
      </c>
      <c r="CD46" s="85">
        <v>50754</v>
      </c>
      <c r="CE46" s="40">
        <v>0</v>
      </c>
      <c r="CG46" s="40">
        <v>4750125</v>
      </c>
      <c r="CH46" s="40">
        <v>0</v>
      </c>
      <c r="CI46" s="40"/>
      <c r="CJ46" s="40">
        <f t="shared" si="49"/>
        <v>4750125</v>
      </c>
      <c r="CL46" s="85">
        <v>50754</v>
      </c>
      <c r="CM46" s="40">
        <v>1995321.3</v>
      </c>
      <c r="CN46" s="101">
        <v>4.8500000000000001E-2</v>
      </c>
      <c r="CO46" s="40">
        <v>1176116.25</v>
      </c>
      <c r="CP46" s="40">
        <v>1819678.7</v>
      </c>
      <c r="CQ46" s="40">
        <f t="shared" si="50"/>
        <v>4991116.25</v>
      </c>
      <c r="CS46" s="85">
        <v>50754</v>
      </c>
      <c r="CT46" s="40">
        <v>0</v>
      </c>
      <c r="CU46" s="40"/>
      <c r="CV46" s="40">
        <v>3425625</v>
      </c>
      <c r="CW46" s="40">
        <v>0</v>
      </c>
      <c r="CX46" s="40">
        <f t="shared" si="51"/>
        <v>3425625</v>
      </c>
      <c r="CZ46" s="85">
        <v>50754</v>
      </c>
      <c r="DA46" s="40">
        <v>1685000</v>
      </c>
      <c r="DB46" s="101">
        <v>0.05</v>
      </c>
      <c r="DC46" s="40">
        <v>1244500</v>
      </c>
      <c r="DD46" s="40">
        <f t="shared" si="52"/>
        <v>2929500</v>
      </c>
      <c r="DF46" s="85">
        <v>50754</v>
      </c>
      <c r="DG46" s="40">
        <v>0</v>
      </c>
      <c r="DH46" s="87">
        <v>0</v>
      </c>
      <c r="DI46" s="40">
        <f t="shared" si="36"/>
        <v>0</v>
      </c>
      <c r="DJ46" s="40">
        <f t="shared" si="53"/>
        <v>0</v>
      </c>
      <c r="DL46" s="85">
        <v>50754</v>
      </c>
      <c r="DM46" s="40">
        <v>0</v>
      </c>
      <c r="DN46" s="87">
        <v>0</v>
      </c>
      <c r="DO46" s="40"/>
      <c r="DP46" s="40">
        <v>0</v>
      </c>
      <c r="DQ46" s="40">
        <f t="shared" si="54"/>
        <v>0</v>
      </c>
      <c r="DS46" s="85">
        <v>50754</v>
      </c>
      <c r="DU46" s="87"/>
      <c r="DY46" s="85">
        <v>50754</v>
      </c>
      <c r="DZ46" s="40"/>
      <c r="EA46" s="87"/>
      <c r="EB46" s="40"/>
      <c r="EC46" s="40">
        <v>0</v>
      </c>
      <c r="ED46" s="40">
        <f t="shared" si="55"/>
        <v>0</v>
      </c>
      <c r="EF46" s="85">
        <v>50754</v>
      </c>
      <c r="EG46" s="40"/>
      <c r="EH46" s="87"/>
      <c r="EI46" s="40"/>
      <c r="EJ46" s="40">
        <f t="shared" si="56"/>
        <v>0</v>
      </c>
      <c r="EL46" s="85">
        <v>50754</v>
      </c>
      <c r="EM46" s="40">
        <v>2310621.5499999998</v>
      </c>
      <c r="EN46" s="87"/>
      <c r="EO46" s="40">
        <v>0</v>
      </c>
      <c r="EP46" s="40">
        <v>159384378.44999999</v>
      </c>
      <c r="EQ46" s="40">
        <f t="shared" si="57"/>
        <v>161695000</v>
      </c>
      <c r="ES46" s="85">
        <v>50754</v>
      </c>
      <c r="EU46" s="87"/>
      <c r="EX46" s="40">
        <f t="shared" si="58"/>
        <v>0</v>
      </c>
      <c r="EZ46" s="85">
        <v>50754</v>
      </c>
      <c r="FF46" s="85">
        <v>50754</v>
      </c>
      <c r="FJ46" s="40">
        <f t="shared" si="59"/>
        <v>0</v>
      </c>
      <c r="FL46" s="85">
        <v>50754</v>
      </c>
      <c r="FP46" s="40">
        <f t="shared" si="60"/>
        <v>0</v>
      </c>
      <c r="FR46" s="85">
        <v>50754</v>
      </c>
      <c r="FW46" s="40">
        <f t="shared" si="61"/>
        <v>0</v>
      </c>
      <c r="FY46" s="85">
        <v>50754</v>
      </c>
      <c r="GD46" s="40">
        <f t="shared" si="62"/>
        <v>0</v>
      </c>
      <c r="GF46" s="85">
        <v>50754</v>
      </c>
      <c r="GK46" s="40">
        <f t="shared" si="63"/>
        <v>0</v>
      </c>
      <c r="GM46" s="85">
        <v>50754</v>
      </c>
      <c r="GR46" s="40">
        <f t="shared" si="64"/>
        <v>0</v>
      </c>
    </row>
    <row r="47" spans="1:200" x14ac:dyDescent="0.25">
      <c r="A47" s="118">
        <f t="shared" si="37"/>
        <v>56415</v>
      </c>
      <c r="B47" s="85">
        <v>57526</v>
      </c>
      <c r="C47" s="86">
        <f t="shared" si="0"/>
        <v>347248625</v>
      </c>
      <c r="D47" s="40">
        <f t="shared" si="1"/>
        <v>0</v>
      </c>
      <c r="F47" s="85">
        <v>50951</v>
      </c>
      <c r="G47" s="85"/>
      <c r="H47" s="85">
        <v>50936</v>
      </c>
      <c r="I47" s="40">
        <f>SUM(Y46,Y47,AG46:AG47,AO46:AO47,AW46:AW47,BE46:BE47,BM46:BM47,BO46:BO47,BW46:BW47,CE46:CE47,CM46:CM47,CT46:CT47,DA46:DA47,DG46:DG47,DM46:DM47,DT46:DT47,DZ46:DZ47,EG46:EG47,EM46:EM47,ET46:ET47,FA46:FA47,FG46:FG47,FM46:FM47,FS46:FS47,FZ46:FZ47,GG46:GG47,GN46:GN47)</f>
        <v>26399428.949999999</v>
      </c>
      <c r="J47" s="40">
        <f>SUM(AA46,AA47,AI46:AI47,AQ46:AQ47,AY46:AY47,BG46:BG47,BQ46:BQ47,BY46:BY47,CG46:CG47,CO46:CO47,CV46:CV47,DC46:DC47,DI46:DI47,DO46:DO47,DV46:DV47,EB46:EB47,EI46:EI47,EO46:EO47,EV46:EV47,FC46:FC47,FI46:FI47,FO46:FO47,FU46:FU47,GB46:GB47,GI46:GI47,GP46:GP47)</f>
        <v>90002643.75</v>
      </c>
      <c r="K47" s="40">
        <f>SUM(AB46,AB47,BR46:BR47,BZ46:BZ47,CH46:CH47,CP46:CP47,CW46:CW47,DP46:DP47,EC46:EC47,EP46:EP47,EW46:EW47,FV46:FV47,GC46:GC47,GJ46:GJ47,GQ46:GQ47)</f>
        <v>266170571.05000001</v>
      </c>
      <c r="L47" s="40">
        <f>SUM(AC46,AC47,AS46:AS47,BA46:BA47,BI46:BI47,BS46:BS47,CA46:CA47,CI46:CI47)</f>
        <v>0</v>
      </c>
      <c r="M47" s="40">
        <f>SUM(I47:L47)</f>
        <v>382572643.75</v>
      </c>
      <c r="O47" s="85">
        <v>50951</v>
      </c>
      <c r="P47" s="85"/>
      <c r="Q47" s="85">
        <v>50936</v>
      </c>
      <c r="R47" s="40">
        <f t="shared" si="33"/>
        <v>11282906.85</v>
      </c>
      <c r="S47" s="40">
        <f t="shared" si="34"/>
        <v>44934002.5</v>
      </c>
      <c r="T47" s="40">
        <f t="shared" si="35"/>
        <v>99817093.149999991</v>
      </c>
      <c r="U47" s="40">
        <f t="shared" si="32"/>
        <v>0</v>
      </c>
      <c r="V47" s="40">
        <f t="shared" si="41"/>
        <v>156034002.5</v>
      </c>
      <c r="X47" s="85">
        <v>50936</v>
      </c>
      <c r="Y47" s="40">
        <v>9128005.6500000004</v>
      </c>
      <c r="Z47" s="101">
        <v>2.7199999999999998E-2</v>
      </c>
      <c r="AA47" s="40">
        <v>12971900</v>
      </c>
      <c r="AB47" s="40">
        <v>5416994.3499999996</v>
      </c>
      <c r="AC47" s="40"/>
      <c r="AD47" s="40">
        <f t="shared" si="3"/>
        <v>27516900</v>
      </c>
      <c r="AF47" s="85">
        <v>50936</v>
      </c>
      <c r="AG47" s="40"/>
      <c r="AH47" s="101"/>
      <c r="AI47" s="40">
        <f t="shared" si="38"/>
        <v>0</v>
      </c>
      <c r="AJ47" s="40">
        <v>0</v>
      </c>
      <c r="AK47" s="40"/>
      <c r="AL47" s="40">
        <f t="shared" si="42"/>
        <v>0</v>
      </c>
      <c r="AN47" s="85">
        <v>50936</v>
      </c>
      <c r="AO47" s="40">
        <v>0</v>
      </c>
      <c r="AP47" s="101"/>
      <c r="AQ47" s="40">
        <f t="shared" si="43"/>
        <v>1637750</v>
      </c>
      <c r="AR47" s="40">
        <v>0</v>
      </c>
      <c r="AS47" s="40"/>
      <c r="AT47" s="40">
        <f t="shared" si="44"/>
        <v>1637750</v>
      </c>
      <c r="AV47" s="85">
        <v>50936</v>
      </c>
      <c r="AW47" s="40">
        <v>0</v>
      </c>
      <c r="AX47" s="101"/>
      <c r="AY47" s="40">
        <f t="shared" si="7"/>
        <v>0</v>
      </c>
      <c r="AZ47" s="40">
        <v>0</v>
      </c>
      <c r="BA47" s="40"/>
      <c r="BB47" s="40">
        <f t="shared" si="45"/>
        <v>0</v>
      </c>
      <c r="BD47" s="85">
        <v>50936</v>
      </c>
      <c r="BE47" s="40">
        <v>0</v>
      </c>
      <c r="BF47" s="101"/>
      <c r="BG47" s="40">
        <f t="shared" si="39"/>
        <v>0</v>
      </c>
      <c r="BH47" s="40">
        <v>0</v>
      </c>
      <c r="BI47" s="40"/>
      <c r="BJ47" s="40">
        <f t="shared" si="46"/>
        <v>0</v>
      </c>
      <c r="BL47" s="85">
        <v>50936</v>
      </c>
      <c r="BM47" s="40"/>
      <c r="BN47" s="101"/>
      <c r="BO47" s="40"/>
      <c r="BP47" s="101"/>
      <c r="BQ47" s="40">
        <f t="shared" si="47"/>
        <v>19862625</v>
      </c>
      <c r="BR47" s="40"/>
      <c r="BS47" s="40"/>
      <c r="BT47" s="40">
        <f t="shared" si="48"/>
        <v>19862625</v>
      </c>
      <c r="BV47" s="85">
        <v>50936</v>
      </c>
      <c r="BW47" s="40"/>
      <c r="BX47" s="101"/>
      <c r="BY47" s="40"/>
      <c r="BZ47" s="40"/>
      <c r="CA47" s="40"/>
      <c r="CB47" s="40">
        <f t="shared" si="40"/>
        <v>0</v>
      </c>
      <c r="CD47" s="85">
        <v>50936</v>
      </c>
      <c r="CE47" s="40">
        <v>0</v>
      </c>
      <c r="CG47" s="40">
        <v>4750125</v>
      </c>
      <c r="CH47" s="40">
        <v>0</v>
      </c>
      <c r="CI47" s="40"/>
      <c r="CJ47" s="40">
        <f t="shared" si="49"/>
        <v>4750125</v>
      </c>
      <c r="CL47" s="85">
        <v>50936</v>
      </c>
      <c r="CM47" s="40">
        <v>0</v>
      </c>
      <c r="CN47" s="101"/>
      <c r="CO47" s="40">
        <v>1083602.5</v>
      </c>
      <c r="CP47" s="40">
        <v>0</v>
      </c>
      <c r="CQ47" s="40">
        <f t="shared" si="50"/>
        <v>1083602.5</v>
      </c>
      <c r="CS47" s="85">
        <v>50936</v>
      </c>
      <c r="CT47" s="40">
        <v>0</v>
      </c>
      <c r="CU47" s="40"/>
      <c r="CV47" s="40">
        <v>3425625</v>
      </c>
      <c r="CW47" s="40">
        <v>0</v>
      </c>
      <c r="CX47" s="40">
        <f t="shared" si="51"/>
        <v>3425625</v>
      </c>
      <c r="CZ47" s="85">
        <v>50936</v>
      </c>
      <c r="DA47" s="40">
        <v>865000</v>
      </c>
      <c r="DB47" s="101">
        <v>0.05</v>
      </c>
      <c r="DC47" s="40">
        <v>1202375</v>
      </c>
      <c r="DD47" s="40">
        <f t="shared" si="52"/>
        <v>2067375</v>
      </c>
      <c r="DF47" s="85">
        <v>50936</v>
      </c>
      <c r="DG47" s="40">
        <v>0</v>
      </c>
      <c r="DH47" s="87">
        <v>0</v>
      </c>
      <c r="DI47" s="40">
        <f t="shared" si="36"/>
        <v>0</v>
      </c>
      <c r="DJ47" s="40">
        <f t="shared" si="53"/>
        <v>0</v>
      </c>
      <c r="DL47" s="85">
        <v>50936</v>
      </c>
      <c r="DM47" s="40">
        <v>0</v>
      </c>
      <c r="DN47" s="87">
        <v>0</v>
      </c>
      <c r="DO47" s="40"/>
      <c r="DP47" s="40">
        <v>0</v>
      </c>
      <c r="DQ47" s="40">
        <f t="shared" si="54"/>
        <v>0</v>
      </c>
      <c r="DS47" s="85">
        <v>50936</v>
      </c>
      <c r="DU47" s="87"/>
      <c r="DY47" s="85">
        <v>50936</v>
      </c>
      <c r="DZ47" s="40"/>
      <c r="EA47" s="87"/>
      <c r="EB47" s="40"/>
      <c r="EC47" s="40">
        <v>0</v>
      </c>
      <c r="ED47" s="40">
        <f t="shared" si="55"/>
        <v>0</v>
      </c>
      <c r="EF47" s="85">
        <v>50936</v>
      </c>
      <c r="EG47" s="40"/>
      <c r="EH47" s="87"/>
      <c r="EI47" s="40"/>
      <c r="EJ47" s="40">
        <f t="shared" si="56"/>
        <v>0</v>
      </c>
      <c r="EL47" s="85">
        <v>50936</v>
      </c>
      <c r="EM47" s="40">
        <v>1289901.2</v>
      </c>
      <c r="EN47" s="87"/>
      <c r="EO47" s="40">
        <v>0</v>
      </c>
      <c r="EP47" s="40">
        <v>94400098.799999997</v>
      </c>
      <c r="EQ47" s="40">
        <f t="shared" si="57"/>
        <v>95690000</v>
      </c>
      <c r="ES47" s="85">
        <v>50936</v>
      </c>
      <c r="EU47" s="87"/>
      <c r="EX47" s="40">
        <f t="shared" si="58"/>
        <v>0</v>
      </c>
      <c r="EZ47" s="85">
        <v>50936</v>
      </c>
      <c r="FF47" s="85">
        <v>50936</v>
      </c>
      <c r="FJ47" s="40">
        <f t="shared" si="59"/>
        <v>0</v>
      </c>
      <c r="FL47" s="85">
        <v>50936</v>
      </c>
      <c r="FP47" s="40">
        <f t="shared" si="60"/>
        <v>0</v>
      </c>
      <c r="FR47" s="85">
        <v>50936</v>
      </c>
      <c r="FW47" s="40">
        <f t="shared" si="61"/>
        <v>0</v>
      </c>
      <c r="FY47" s="85">
        <v>50936</v>
      </c>
      <c r="GD47" s="40">
        <f t="shared" si="62"/>
        <v>0</v>
      </c>
      <c r="GF47" s="85">
        <v>50936</v>
      </c>
      <c r="GK47" s="40">
        <f t="shared" si="63"/>
        <v>0</v>
      </c>
      <c r="GM47" s="85">
        <v>50936</v>
      </c>
      <c r="GR47" s="40">
        <f t="shared" si="64"/>
        <v>0</v>
      </c>
    </row>
    <row r="48" spans="1:200" x14ac:dyDescent="0.25">
      <c r="A48" s="118">
        <f t="shared" si="37"/>
        <v>56780</v>
      </c>
      <c r="B48" s="85">
        <v>57891</v>
      </c>
      <c r="C48" s="86">
        <f t="shared" si="0"/>
        <v>0</v>
      </c>
      <c r="D48" s="40">
        <f t="shared" si="1"/>
        <v>0</v>
      </c>
      <c r="F48" s="85">
        <v>51135</v>
      </c>
      <c r="G48" s="85"/>
      <c r="H48" s="85">
        <v>51119</v>
      </c>
      <c r="I48" s="40"/>
      <c r="O48" s="85">
        <v>51135</v>
      </c>
      <c r="P48" s="85"/>
      <c r="Q48" s="85">
        <v>51119</v>
      </c>
      <c r="R48" s="40">
        <f t="shared" si="33"/>
        <v>14710901.649999999</v>
      </c>
      <c r="S48" s="40">
        <f t="shared" si="34"/>
        <v>44912377.5</v>
      </c>
      <c r="T48" s="40">
        <f t="shared" si="35"/>
        <v>166994098.35000002</v>
      </c>
      <c r="U48" s="40">
        <f t="shared" si="32"/>
        <v>0</v>
      </c>
      <c r="V48" s="40">
        <f t="shared" si="41"/>
        <v>226617377.50000003</v>
      </c>
      <c r="X48" s="85">
        <v>51119</v>
      </c>
      <c r="Y48" s="40">
        <v>8813678.1999999993</v>
      </c>
      <c r="Z48" s="101">
        <v>2.7300000000000001E-2</v>
      </c>
      <c r="AA48" s="40">
        <v>12971900</v>
      </c>
      <c r="AB48" s="40">
        <v>5446321.7999999998</v>
      </c>
      <c r="AC48" s="40"/>
      <c r="AD48" s="40">
        <f t="shared" si="3"/>
        <v>27231900</v>
      </c>
      <c r="AF48" s="85">
        <v>51119</v>
      </c>
      <c r="AG48" s="40"/>
      <c r="AH48" s="101"/>
      <c r="AI48" s="40">
        <f t="shared" si="38"/>
        <v>0</v>
      </c>
      <c r="AJ48" s="40">
        <v>0</v>
      </c>
      <c r="AK48" s="40"/>
      <c r="AL48" s="40">
        <f t="shared" si="42"/>
        <v>0</v>
      </c>
      <c r="AN48" s="85">
        <v>51119</v>
      </c>
      <c r="AO48" s="40">
        <v>0</v>
      </c>
      <c r="AP48" s="101"/>
      <c r="AQ48" s="40">
        <f t="shared" si="43"/>
        <v>1637750</v>
      </c>
      <c r="AR48" s="40">
        <v>0</v>
      </c>
      <c r="AS48" s="40"/>
      <c r="AT48" s="40">
        <f t="shared" si="44"/>
        <v>1637750</v>
      </c>
      <c r="AV48" s="85">
        <v>51119</v>
      </c>
      <c r="AW48" s="40">
        <v>0</v>
      </c>
      <c r="AX48" s="101"/>
      <c r="AY48" s="40">
        <f t="shared" si="7"/>
        <v>0</v>
      </c>
      <c r="AZ48" s="40">
        <v>0</v>
      </c>
      <c r="BA48" s="40"/>
      <c r="BB48" s="40">
        <f t="shared" si="45"/>
        <v>0</v>
      </c>
      <c r="BD48" s="85">
        <v>51119</v>
      </c>
      <c r="BE48" s="40">
        <v>0</v>
      </c>
      <c r="BF48" s="101"/>
      <c r="BG48" s="40">
        <f t="shared" si="39"/>
        <v>0</v>
      </c>
      <c r="BH48" s="40">
        <v>0</v>
      </c>
      <c r="BI48" s="40"/>
      <c r="BJ48" s="40">
        <f t="shared" si="46"/>
        <v>0</v>
      </c>
      <c r="BL48" s="85">
        <v>51119</v>
      </c>
      <c r="BM48" s="40"/>
      <c r="BN48" s="101"/>
      <c r="BO48" s="40"/>
      <c r="BP48" s="101"/>
      <c r="BQ48" s="40">
        <f t="shared" si="47"/>
        <v>19862625</v>
      </c>
      <c r="BR48" s="40"/>
      <c r="BS48" s="40"/>
      <c r="BT48" s="40">
        <f t="shared" si="48"/>
        <v>19862625</v>
      </c>
      <c r="BV48" s="85">
        <v>51119</v>
      </c>
      <c r="BW48" s="40"/>
      <c r="BX48" s="101"/>
      <c r="BY48" s="40"/>
      <c r="BZ48" s="40"/>
      <c r="CA48" s="40"/>
      <c r="CB48" s="40">
        <f t="shared" si="40"/>
        <v>0</v>
      </c>
      <c r="CD48" s="85">
        <v>51119</v>
      </c>
      <c r="CE48" s="40">
        <v>0</v>
      </c>
      <c r="CG48" s="40">
        <v>4750125</v>
      </c>
      <c r="CH48" s="40">
        <v>0</v>
      </c>
      <c r="CI48" s="40"/>
      <c r="CJ48" s="40">
        <f t="shared" si="49"/>
        <v>4750125</v>
      </c>
      <c r="CL48" s="85">
        <v>51119</v>
      </c>
      <c r="CM48" s="40">
        <v>2092080</v>
      </c>
      <c r="CN48" s="101">
        <v>4.8500000000000001E-2</v>
      </c>
      <c r="CO48" s="40">
        <v>1083602.5</v>
      </c>
      <c r="CP48" s="40">
        <v>1907920</v>
      </c>
      <c r="CQ48" s="40">
        <f t="shared" si="50"/>
        <v>5083602.5</v>
      </c>
      <c r="CS48" s="85">
        <v>51119</v>
      </c>
      <c r="CT48" s="40">
        <v>0</v>
      </c>
      <c r="CU48" s="40"/>
      <c r="CV48" s="40">
        <v>3425625</v>
      </c>
      <c r="CW48" s="40">
        <v>0</v>
      </c>
      <c r="CX48" s="40">
        <f t="shared" si="51"/>
        <v>3425625</v>
      </c>
      <c r="CZ48" s="85">
        <v>51119</v>
      </c>
      <c r="DA48" s="40">
        <v>1750000</v>
      </c>
      <c r="DB48" s="101">
        <v>0.05</v>
      </c>
      <c r="DC48" s="40">
        <v>1180750</v>
      </c>
      <c r="DD48" s="40">
        <f t="shared" si="52"/>
        <v>2930750</v>
      </c>
      <c r="DF48" s="85">
        <v>51119</v>
      </c>
      <c r="DG48" s="40">
        <v>0</v>
      </c>
      <c r="DH48" s="87">
        <v>0</v>
      </c>
      <c r="DI48" s="40">
        <f t="shared" si="36"/>
        <v>0</v>
      </c>
      <c r="DJ48" s="40">
        <f t="shared" si="53"/>
        <v>0</v>
      </c>
      <c r="DL48" s="85">
        <v>51119</v>
      </c>
      <c r="DM48" s="40">
        <v>0</v>
      </c>
      <c r="DN48" s="87">
        <v>0</v>
      </c>
      <c r="DO48" s="40"/>
      <c r="DP48" s="40">
        <v>0</v>
      </c>
      <c r="DQ48" s="40">
        <f t="shared" si="54"/>
        <v>0</v>
      </c>
      <c r="DS48" s="85">
        <v>51119</v>
      </c>
      <c r="DU48" s="87"/>
      <c r="DY48" s="85">
        <v>51119</v>
      </c>
      <c r="DZ48" s="40"/>
      <c r="EA48" s="87"/>
      <c r="EB48" s="40"/>
      <c r="EC48" s="40">
        <v>0</v>
      </c>
      <c r="ED48" s="40">
        <f t="shared" si="55"/>
        <v>0</v>
      </c>
      <c r="EF48" s="85">
        <v>51119</v>
      </c>
      <c r="EG48" s="40"/>
      <c r="EH48" s="87"/>
      <c r="EI48" s="40"/>
      <c r="EJ48" s="40">
        <f t="shared" si="56"/>
        <v>0</v>
      </c>
      <c r="EL48" s="85">
        <v>51119</v>
      </c>
      <c r="EM48" s="40">
        <v>2055143.45</v>
      </c>
      <c r="EN48" s="87"/>
      <c r="EO48" s="40">
        <v>0</v>
      </c>
      <c r="EP48" s="40">
        <v>159639856.55000001</v>
      </c>
      <c r="EQ48" s="40">
        <f t="shared" si="57"/>
        <v>161695000</v>
      </c>
      <c r="ES48" s="85">
        <v>51119</v>
      </c>
      <c r="EU48" s="87"/>
      <c r="EX48" s="40">
        <f t="shared" si="58"/>
        <v>0</v>
      </c>
      <c r="EZ48" s="85">
        <v>51119</v>
      </c>
      <c r="FF48" s="85">
        <v>51119</v>
      </c>
      <c r="FJ48" s="40">
        <f t="shared" si="59"/>
        <v>0</v>
      </c>
      <c r="FL48" s="85">
        <v>51119</v>
      </c>
      <c r="FP48" s="40">
        <f t="shared" si="60"/>
        <v>0</v>
      </c>
      <c r="FR48" s="85">
        <v>51119</v>
      </c>
      <c r="FW48" s="40">
        <f t="shared" si="61"/>
        <v>0</v>
      </c>
      <c r="FY48" s="85">
        <v>51119</v>
      </c>
      <c r="GD48" s="40">
        <f t="shared" si="62"/>
        <v>0</v>
      </c>
      <c r="GF48" s="85">
        <v>51119</v>
      </c>
      <c r="GK48" s="40">
        <f t="shared" si="63"/>
        <v>0</v>
      </c>
      <c r="GM48" s="85">
        <v>51119</v>
      </c>
      <c r="GR48" s="40">
        <f t="shared" si="64"/>
        <v>0</v>
      </c>
    </row>
    <row r="49" spans="1:200" x14ac:dyDescent="0.25">
      <c r="A49" s="118">
        <f t="shared" si="37"/>
        <v>57146</v>
      </c>
      <c r="B49" s="85">
        <v>58256</v>
      </c>
      <c r="C49" s="86">
        <f t="shared" si="0"/>
        <v>0</v>
      </c>
      <c r="D49" s="40">
        <f t="shared" si="1"/>
        <v>0</v>
      </c>
      <c r="F49" s="85">
        <v>51317</v>
      </c>
      <c r="G49" s="85"/>
      <c r="H49" s="85">
        <v>51302</v>
      </c>
      <c r="I49" s="40">
        <f>SUM(Y48,Y49,AG48:AG49,AO48:AO49,AW48:AW49,BE48:BE49,BM48:BM49,BO48:BO49,BW48:BW49,CE48:CE49,CM48:CM49,CT48:CT49,DA48:DA49,DG48:DG49,DM48:DM49,DT48:DT49,DZ48:DZ49,EG48:EG49,EM48:EM49,ET48:ET49,FA48:FA49,FG48:FG49,FM48:FM49,FS48:FS49,FZ48:FZ49,GG48:GG49,GN48:GN49)</f>
        <v>25602411.949999999</v>
      </c>
      <c r="J49" s="40">
        <f>SUM(AA48,AA49,AI48:AI49,AQ48:AQ49,AY48:AY49,BG48:BG49,BQ48:BQ49,BY48:BY49,CG48:CG49,CO48:CO49,CV48:CV49,DC48:DC49,DI48:DI49,DO48:DO49,DV48:DV49,EB48:EB49,EI48:EI49,EO48:EO49,EV48:EV49,FC48:FC49,FI48:FI49,FO48:FO49,FU48:FU49,GB48:GB49,GI48:GI49,GP48:GP49)</f>
        <v>89684005</v>
      </c>
      <c r="K49" s="40">
        <f>SUM(AB48,AB49,BR48:BR49,BZ48:BZ49,CH48:CH49,CP48:CP49,CW48:CW49,DP48:DP49,EC48:EC49,EP48:EP49,EW48:EW49,FV48:FV49,GC48:GC49,GJ48:GJ49,GQ48:GQ49)</f>
        <v>267282588.05000001</v>
      </c>
      <c r="L49" s="40">
        <f>SUM(AC48,AC49,AS48:AS49,BA48:BA49,BI48:BI49,BS48:BS49,CA48:CA49,CI48:CI49)</f>
        <v>0</v>
      </c>
      <c r="M49" s="40">
        <f>SUM(I49:L49)</f>
        <v>382569005</v>
      </c>
      <c r="O49" s="85">
        <v>51317</v>
      </c>
      <c r="P49" s="85"/>
      <c r="Q49" s="85">
        <v>51302</v>
      </c>
      <c r="R49" s="40">
        <f t="shared" si="33"/>
        <v>10891510.299999999</v>
      </c>
      <c r="S49" s="40">
        <f t="shared" si="34"/>
        <v>44771627.5</v>
      </c>
      <c r="T49" s="40">
        <f t="shared" si="35"/>
        <v>100288489.7</v>
      </c>
      <c r="U49" s="40">
        <f t="shared" si="32"/>
        <v>0</v>
      </c>
      <c r="V49" s="40">
        <f t="shared" si="41"/>
        <v>155951627.5</v>
      </c>
      <c r="X49" s="85">
        <v>51302</v>
      </c>
      <c r="Y49" s="40">
        <v>8814187.1999999993</v>
      </c>
      <c r="Z49" s="101">
        <v>2.7699999999999999E-2</v>
      </c>
      <c r="AA49" s="40">
        <v>12971900</v>
      </c>
      <c r="AB49" s="40">
        <v>5745812.7999999998</v>
      </c>
      <c r="AC49" s="40"/>
      <c r="AD49" s="40">
        <f t="shared" si="3"/>
        <v>27531900</v>
      </c>
      <c r="AF49" s="85">
        <v>51302</v>
      </c>
      <c r="AG49" s="40"/>
      <c r="AH49" s="101"/>
      <c r="AI49" s="40">
        <f t="shared" si="38"/>
        <v>0</v>
      </c>
      <c r="AJ49" s="40">
        <v>0</v>
      </c>
      <c r="AK49" s="40"/>
      <c r="AL49" s="40">
        <f t="shared" si="42"/>
        <v>0</v>
      </c>
      <c r="AN49" s="85">
        <v>51302</v>
      </c>
      <c r="AO49" s="40">
        <v>0</v>
      </c>
      <c r="AP49" s="101"/>
      <c r="AQ49" s="40">
        <f t="shared" si="43"/>
        <v>1637750</v>
      </c>
      <c r="AR49" s="40">
        <v>0</v>
      </c>
      <c r="AS49" s="40"/>
      <c r="AT49" s="40">
        <f t="shared" si="44"/>
        <v>1637750</v>
      </c>
      <c r="AV49" s="85">
        <v>51302</v>
      </c>
      <c r="AW49" s="40">
        <v>0</v>
      </c>
      <c r="AX49" s="101"/>
      <c r="AY49" s="40">
        <f t="shared" si="7"/>
        <v>0</v>
      </c>
      <c r="AZ49" s="40">
        <v>0</v>
      </c>
      <c r="BA49" s="40"/>
      <c r="BB49" s="40">
        <f t="shared" si="45"/>
        <v>0</v>
      </c>
      <c r="BD49" s="85">
        <v>51302</v>
      </c>
      <c r="BE49" s="40">
        <v>0</v>
      </c>
      <c r="BF49" s="101"/>
      <c r="BG49" s="40">
        <f t="shared" si="39"/>
        <v>0</v>
      </c>
      <c r="BH49" s="40">
        <v>0</v>
      </c>
      <c r="BI49" s="40"/>
      <c r="BJ49" s="40">
        <f t="shared" si="46"/>
        <v>0</v>
      </c>
      <c r="BL49" s="85">
        <v>51302</v>
      </c>
      <c r="BM49" s="40"/>
      <c r="BN49" s="101"/>
      <c r="BO49" s="40"/>
      <c r="BP49" s="101"/>
      <c r="BQ49" s="40">
        <f t="shared" si="47"/>
        <v>19862625</v>
      </c>
      <c r="BR49" s="40"/>
      <c r="BS49" s="40"/>
      <c r="BT49" s="40">
        <f t="shared" si="48"/>
        <v>19862625</v>
      </c>
      <c r="BV49" s="85">
        <v>51302</v>
      </c>
      <c r="BW49" s="40"/>
      <c r="BX49" s="101"/>
      <c r="BY49" s="40"/>
      <c r="BZ49" s="40"/>
      <c r="CA49" s="40"/>
      <c r="CB49" s="40">
        <f t="shared" si="40"/>
        <v>0</v>
      </c>
      <c r="CD49" s="85">
        <v>51302</v>
      </c>
      <c r="CE49" s="40">
        <v>0</v>
      </c>
      <c r="CG49" s="40">
        <v>4750125</v>
      </c>
      <c r="CH49" s="40">
        <v>0</v>
      </c>
      <c r="CI49" s="40"/>
      <c r="CJ49" s="40">
        <f t="shared" si="49"/>
        <v>4750125</v>
      </c>
      <c r="CL49" s="85">
        <v>51302</v>
      </c>
      <c r="CM49" s="40">
        <v>0</v>
      </c>
      <c r="CN49" s="101"/>
      <c r="CO49" s="40">
        <v>986602.5</v>
      </c>
      <c r="CP49" s="40">
        <v>0</v>
      </c>
      <c r="CQ49" s="40">
        <f t="shared" si="50"/>
        <v>986602.5</v>
      </c>
      <c r="CS49" s="85">
        <v>51302</v>
      </c>
      <c r="CT49" s="40">
        <v>0</v>
      </c>
      <c r="CU49" s="40"/>
      <c r="CV49" s="40">
        <v>3425625</v>
      </c>
      <c r="CW49" s="40">
        <v>0</v>
      </c>
      <c r="CX49" s="40">
        <f t="shared" si="51"/>
        <v>3425625</v>
      </c>
      <c r="CZ49" s="85">
        <v>51302</v>
      </c>
      <c r="DA49" s="40">
        <v>930000</v>
      </c>
      <c r="DB49" s="101">
        <v>0.05</v>
      </c>
      <c r="DC49" s="40">
        <v>1137000</v>
      </c>
      <c r="DD49" s="40">
        <f t="shared" si="52"/>
        <v>2067000</v>
      </c>
      <c r="DF49" s="85">
        <v>51302</v>
      </c>
      <c r="DG49" s="40">
        <v>0</v>
      </c>
      <c r="DH49" s="87">
        <v>0</v>
      </c>
      <c r="DI49" s="40">
        <f t="shared" si="36"/>
        <v>0</v>
      </c>
      <c r="DJ49" s="40">
        <f t="shared" si="53"/>
        <v>0</v>
      </c>
      <c r="DL49" s="85">
        <v>51302</v>
      </c>
      <c r="DM49" s="40">
        <v>0</v>
      </c>
      <c r="DN49" s="87">
        <v>0</v>
      </c>
      <c r="DO49" s="40"/>
      <c r="DP49" s="40">
        <v>0</v>
      </c>
      <c r="DQ49" s="40">
        <f t="shared" si="54"/>
        <v>0</v>
      </c>
      <c r="DS49" s="85">
        <v>51302</v>
      </c>
      <c r="DU49" s="87"/>
      <c r="DY49" s="85">
        <v>51302</v>
      </c>
      <c r="DZ49" s="40"/>
      <c r="EA49" s="87"/>
      <c r="EB49" s="40"/>
      <c r="EC49" s="40">
        <v>0</v>
      </c>
      <c r="ED49" s="40">
        <f t="shared" si="55"/>
        <v>0</v>
      </c>
      <c r="EF49" s="85">
        <v>51302</v>
      </c>
      <c r="EG49" s="40"/>
      <c r="EH49" s="87"/>
      <c r="EI49" s="40"/>
      <c r="EJ49" s="40">
        <f t="shared" si="56"/>
        <v>0</v>
      </c>
      <c r="EL49" s="85">
        <v>51302</v>
      </c>
      <c r="EM49" s="40">
        <v>1147323.1000000001</v>
      </c>
      <c r="EN49" s="87"/>
      <c r="EO49" s="40">
        <v>0</v>
      </c>
      <c r="EP49" s="40">
        <v>94542676.900000006</v>
      </c>
      <c r="EQ49" s="40">
        <f t="shared" si="57"/>
        <v>95690000</v>
      </c>
      <c r="ES49" s="85">
        <v>51302</v>
      </c>
      <c r="EU49" s="87"/>
      <c r="EX49" s="40">
        <f t="shared" si="58"/>
        <v>0</v>
      </c>
      <c r="EZ49" s="85">
        <v>51302</v>
      </c>
      <c r="FF49" s="85">
        <v>51302</v>
      </c>
      <c r="FJ49" s="40">
        <f t="shared" si="59"/>
        <v>0</v>
      </c>
      <c r="FL49" s="85">
        <v>51302</v>
      </c>
      <c r="FP49" s="40">
        <f t="shared" si="60"/>
        <v>0</v>
      </c>
      <c r="FR49" s="85">
        <v>51302</v>
      </c>
      <c r="FW49" s="40">
        <f t="shared" si="61"/>
        <v>0</v>
      </c>
      <c r="FY49" s="85">
        <v>51302</v>
      </c>
      <c r="GD49" s="40">
        <f t="shared" si="62"/>
        <v>0</v>
      </c>
      <c r="GF49" s="85">
        <v>51302</v>
      </c>
      <c r="GK49" s="40">
        <f t="shared" si="63"/>
        <v>0</v>
      </c>
      <c r="GM49" s="85">
        <v>51302</v>
      </c>
      <c r="GR49" s="40">
        <f t="shared" si="64"/>
        <v>0</v>
      </c>
    </row>
    <row r="50" spans="1:200" x14ac:dyDescent="0.25">
      <c r="A50" s="118">
        <f t="shared" si="37"/>
        <v>57511</v>
      </c>
      <c r="B50" s="85">
        <v>58622</v>
      </c>
      <c r="C50" s="86">
        <f t="shared" si="0"/>
        <v>0</v>
      </c>
      <c r="D50" s="40">
        <f t="shared" si="1"/>
        <v>0</v>
      </c>
      <c r="F50" s="85">
        <v>51501</v>
      </c>
      <c r="G50" s="85"/>
      <c r="H50" s="85">
        <v>51485</v>
      </c>
      <c r="I50" s="40"/>
      <c r="O50" s="85">
        <v>51501</v>
      </c>
      <c r="P50" s="85"/>
      <c r="Q50" s="85">
        <v>51485</v>
      </c>
      <c r="R50" s="40">
        <f t="shared" si="33"/>
        <v>14347759.35</v>
      </c>
      <c r="S50" s="40">
        <f t="shared" si="34"/>
        <v>44748377.5</v>
      </c>
      <c r="T50" s="40">
        <f t="shared" si="35"/>
        <v>167632240.65000001</v>
      </c>
      <c r="U50" s="40">
        <f t="shared" si="32"/>
        <v>0</v>
      </c>
      <c r="V50" s="40">
        <f t="shared" si="41"/>
        <v>226728377.5</v>
      </c>
      <c r="X50" s="85">
        <v>51485</v>
      </c>
      <c r="Y50" s="40">
        <v>8504920</v>
      </c>
      <c r="Z50" s="101">
        <v>2.7799999999999998E-2</v>
      </c>
      <c r="AA50" s="40">
        <v>12971900</v>
      </c>
      <c r="AB50" s="40">
        <v>5765080</v>
      </c>
      <c r="AC50" s="40"/>
      <c r="AD50" s="40">
        <f t="shared" si="3"/>
        <v>27241900</v>
      </c>
      <c r="AF50" s="85">
        <v>51485</v>
      </c>
      <c r="AG50" s="40"/>
      <c r="AH50" s="101"/>
      <c r="AI50" s="40">
        <f t="shared" si="38"/>
        <v>0</v>
      </c>
      <c r="AJ50" s="40">
        <v>0</v>
      </c>
      <c r="AK50" s="40"/>
      <c r="AL50" s="40">
        <f t="shared" si="42"/>
        <v>0</v>
      </c>
      <c r="AN50" s="85">
        <v>51485</v>
      </c>
      <c r="AO50" s="40">
        <v>0</v>
      </c>
      <c r="AP50" s="101"/>
      <c r="AQ50" s="40">
        <f t="shared" si="43"/>
        <v>1637750</v>
      </c>
      <c r="AR50" s="40">
        <v>0</v>
      </c>
      <c r="AS50" s="40"/>
      <c r="AT50" s="40">
        <f t="shared" si="44"/>
        <v>1637750</v>
      </c>
      <c r="AV50" s="85">
        <v>51485</v>
      </c>
      <c r="AW50" s="40">
        <v>0</v>
      </c>
      <c r="AX50" s="101"/>
      <c r="AY50" s="40">
        <f t="shared" si="7"/>
        <v>0</v>
      </c>
      <c r="AZ50" s="40">
        <v>0</v>
      </c>
      <c r="BA50" s="40"/>
      <c r="BB50" s="40">
        <f t="shared" si="45"/>
        <v>0</v>
      </c>
      <c r="BD50" s="85">
        <v>51485</v>
      </c>
      <c r="BE50" s="40">
        <v>0</v>
      </c>
      <c r="BF50" s="101"/>
      <c r="BG50" s="40">
        <f t="shared" si="39"/>
        <v>0</v>
      </c>
      <c r="BH50" s="40">
        <v>0</v>
      </c>
      <c r="BI50" s="40"/>
      <c r="BJ50" s="40">
        <f t="shared" si="46"/>
        <v>0</v>
      </c>
      <c r="BL50" s="85">
        <v>51485</v>
      </c>
      <c r="BM50" s="40"/>
      <c r="BN50" s="101"/>
      <c r="BO50" s="40"/>
      <c r="BP50" s="101"/>
      <c r="BQ50" s="40">
        <f t="shared" si="47"/>
        <v>19862625</v>
      </c>
      <c r="BR50" s="40"/>
      <c r="BS50" s="40"/>
      <c r="BT50" s="40">
        <f t="shared" si="48"/>
        <v>19862625</v>
      </c>
      <c r="BV50" s="85">
        <v>51485</v>
      </c>
      <c r="BW50" s="40"/>
      <c r="BX50" s="101"/>
      <c r="BY50" s="40"/>
      <c r="BZ50" s="40"/>
      <c r="CA50" s="40"/>
      <c r="CB50" s="40">
        <f t="shared" si="40"/>
        <v>0</v>
      </c>
      <c r="CD50" s="85">
        <v>51485</v>
      </c>
      <c r="CE50" s="40">
        <v>0</v>
      </c>
      <c r="CG50" s="40">
        <v>4750125</v>
      </c>
      <c r="CH50" s="40">
        <v>0</v>
      </c>
      <c r="CI50" s="40"/>
      <c r="CJ50" s="40">
        <f t="shared" si="49"/>
        <v>4750125</v>
      </c>
      <c r="CL50" s="85">
        <v>51485</v>
      </c>
      <c r="CM50" s="40">
        <v>2194068.9</v>
      </c>
      <c r="CN50" s="101">
        <v>4.8500000000000001E-2</v>
      </c>
      <c r="CO50" s="40">
        <v>986602.5</v>
      </c>
      <c r="CP50" s="40">
        <v>2000931.1</v>
      </c>
      <c r="CQ50" s="40">
        <f t="shared" si="50"/>
        <v>5181602.5</v>
      </c>
      <c r="CS50" s="85">
        <v>51485</v>
      </c>
      <c r="CT50" s="40">
        <v>0</v>
      </c>
      <c r="CU50" s="40"/>
      <c r="CV50" s="40">
        <v>3425625</v>
      </c>
      <c r="CW50" s="40">
        <v>0</v>
      </c>
      <c r="CX50" s="40">
        <f t="shared" si="51"/>
        <v>3425625</v>
      </c>
      <c r="CZ50" s="85">
        <v>51485</v>
      </c>
      <c r="DA50" s="40">
        <v>1820000</v>
      </c>
      <c r="DB50" s="101">
        <v>0.05</v>
      </c>
      <c r="DC50" s="40">
        <v>1113750</v>
      </c>
      <c r="DD50" s="40">
        <f t="shared" si="52"/>
        <v>2933750</v>
      </c>
      <c r="DF50" s="85">
        <v>51485</v>
      </c>
      <c r="DG50" s="40">
        <v>0</v>
      </c>
      <c r="DH50" s="87">
        <v>0</v>
      </c>
      <c r="DI50" s="40">
        <f t="shared" si="36"/>
        <v>0</v>
      </c>
      <c r="DJ50" s="40">
        <f t="shared" si="53"/>
        <v>0</v>
      </c>
      <c r="DL50" s="85">
        <v>51485</v>
      </c>
      <c r="DM50" s="40">
        <v>0</v>
      </c>
      <c r="DN50" s="87">
        <v>0</v>
      </c>
      <c r="DO50" s="40"/>
      <c r="DP50" s="40">
        <v>0</v>
      </c>
      <c r="DQ50" s="40">
        <f t="shared" si="54"/>
        <v>0</v>
      </c>
      <c r="DS50" s="85">
        <v>51485</v>
      </c>
      <c r="DU50" s="87"/>
      <c r="DY50" s="85">
        <v>51485</v>
      </c>
      <c r="DZ50" s="40"/>
      <c r="EA50" s="87"/>
      <c r="EB50" s="40"/>
      <c r="EC50" s="40">
        <v>0</v>
      </c>
      <c r="ED50" s="40">
        <f t="shared" si="55"/>
        <v>0</v>
      </c>
      <c r="EF50" s="85">
        <v>51485</v>
      </c>
      <c r="EG50" s="40"/>
      <c r="EH50" s="87"/>
      <c r="EI50" s="40"/>
      <c r="EJ50" s="40">
        <f t="shared" si="56"/>
        <v>0</v>
      </c>
      <c r="EL50" s="85">
        <v>51485</v>
      </c>
      <c r="EM50" s="40">
        <v>1828770.45</v>
      </c>
      <c r="EN50" s="87"/>
      <c r="EO50" s="40">
        <v>0</v>
      </c>
      <c r="EP50" s="40">
        <v>159866229.55000001</v>
      </c>
      <c r="EQ50" s="40">
        <f t="shared" si="57"/>
        <v>161695000</v>
      </c>
      <c r="ES50" s="85">
        <v>51485</v>
      </c>
      <c r="EU50" s="87"/>
      <c r="EX50" s="40">
        <f t="shared" si="58"/>
        <v>0</v>
      </c>
      <c r="EZ50" s="85">
        <v>51485</v>
      </c>
      <c r="FF50" s="85">
        <v>51485</v>
      </c>
      <c r="FJ50" s="40">
        <f t="shared" si="59"/>
        <v>0</v>
      </c>
      <c r="FL50" s="85">
        <v>51485</v>
      </c>
      <c r="FP50" s="40">
        <f t="shared" si="60"/>
        <v>0</v>
      </c>
      <c r="FR50" s="85">
        <v>51485</v>
      </c>
      <c r="FW50" s="40">
        <f t="shared" si="61"/>
        <v>0</v>
      </c>
      <c r="FY50" s="85">
        <v>51485</v>
      </c>
      <c r="GD50" s="40">
        <f t="shared" si="62"/>
        <v>0</v>
      </c>
      <c r="GF50" s="85">
        <v>51485</v>
      </c>
      <c r="GK50" s="40">
        <f t="shared" si="63"/>
        <v>0</v>
      </c>
      <c r="GM50" s="85">
        <v>51485</v>
      </c>
      <c r="GR50" s="40">
        <f t="shared" si="64"/>
        <v>0</v>
      </c>
    </row>
    <row r="51" spans="1:200" x14ac:dyDescent="0.25">
      <c r="A51" s="118">
        <f t="shared" si="37"/>
        <v>57876</v>
      </c>
      <c r="F51" s="85">
        <v>51682</v>
      </c>
      <c r="G51" s="85"/>
      <c r="H51" s="85">
        <v>51667</v>
      </c>
      <c r="I51" s="40">
        <f>SUM(Y50,Y51,AG50:AG51,AO50:AO51,AW50:AW51,BE50:BE51,BM50:BM51,BO50:BO51,BW50:BW51,CE50:CE51,CM50:CM51,CT50:CT51,DA50:DA51,DG50:DG51,DM50:DM51,DT50:DT51,DZ50:DZ51,EG50:EG51,EM50:EM51,ET50:ET51,FA50:FA51,FG50:FG51,FM50:FM51,FS50:FS51,FZ50:FZ51,GG50:GG51,GN50:GN51)</f>
        <v>37644646.850000001</v>
      </c>
      <c r="J51" s="40">
        <f>SUM(AA50,AA51,AI50:AI51,AQ50:AQ51,AY50:AY51,BG50:BG51,BQ50:BQ51,BY50:BY51,CG50:CG51,CO50:CO51,CV50:CV51,DC50:DC51,DI50:DI51,DO50:DO51,DV50:DV51,EB50:EB51,EI50:EI51,EO50:EO51,EV50:EV51,FC50:FC51,FI50:FI51,FO50:FO51,FU50:FU51,GB50:GB51,GI50:GI51,GP50:GP51)</f>
        <v>89349526.25</v>
      </c>
      <c r="K51" s="40">
        <f>SUM(AB50,AB51,BR50:BR51,BZ50:BZ51,CH50:CH51,CP50:CP51,CW50:CW51,DP50:DP51,EC50:EC51,EP50:EP51,EW50:EW51,FV50:FV51,GC50:GC51,GJ50:GJ51,GQ50:GQ51)</f>
        <v>255575209.75</v>
      </c>
      <c r="L51" s="40">
        <f>SUM(AC50,AC51,AS50:AS51,BA50:BA51,BI50:BI51,BS50:BS51,CA50:CA51,CI50:CI51)</f>
        <v>0</v>
      </c>
      <c r="M51" s="40">
        <f>SUM(I51:L51)</f>
        <v>382569382.85000002</v>
      </c>
      <c r="O51" s="85">
        <v>51682</v>
      </c>
      <c r="P51" s="85"/>
      <c r="Q51" s="85">
        <v>51667</v>
      </c>
      <c r="R51" s="40">
        <f t="shared" si="33"/>
        <v>23296887.5</v>
      </c>
      <c r="S51" s="40">
        <f t="shared" si="34"/>
        <v>44601148.75</v>
      </c>
      <c r="T51" s="40">
        <f t="shared" si="35"/>
        <v>87942969.099999994</v>
      </c>
      <c r="U51" s="40">
        <f t="shared" si="32"/>
        <v>0</v>
      </c>
      <c r="V51" s="40">
        <f t="shared" si="41"/>
        <v>155841005.34999999</v>
      </c>
      <c r="X51" s="85">
        <v>51667</v>
      </c>
      <c r="Y51" s="40">
        <v>8504329.5</v>
      </c>
      <c r="Z51" s="101">
        <v>2.81E-2</v>
      </c>
      <c r="AA51" s="40">
        <v>12971900</v>
      </c>
      <c r="AB51" s="40">
        <v>6045670.5</v>
      </c>
      <c r="AC51" s="40"/>
      <c r="AD51" s="40">
        <f t="shared" si="3"/>
        <v>27521900</v>
      </c>
      <c r="AF51" s="85">
        <v>51667</v>
      </c>
      <c r="AG51" s="40"/>
      <c r="AH51" s="101"/>
      <c r="AI51" s="40">
        <f t="shared" si="38"/>
        <v>0</v>
      </c>
      <c r="AJ51" s="40">
        <v>0</v>
      </c>
      <c r="AK51" s="40"/>
      <c r="AL51" s="40">
        <f t="shared" si="42"/>
        <v>0</v>
      </c>
      <c r="AN51" s="85">
        <v>51667</v>
      </c>
      <c r="AO51" s="40">
        <v>0</v>
      </c>
      <c r="AP51" s="101"/>
      <c r="AQ51" s="40">
        <f t="shared" si="43"/>
        <v>1637750</v>
      </c>
      <c r="AR51" s="40">
        <v>0</v>
      </c>
      <c r="AS51" s="40"/>
      <c r="AT51" s="40">
        <f t="shared" si="44"/>
        <v>1637750</v>
      </c>
      <c r="AV51" s="85">
        <v>51667</v>
      </c>
      <c r="AW51" s="40">
        <v>0</v>
      </c>
      <c r="AX51" s="101"/>
      <c r="AY51" s="40">
        <f t="shared" si="7"/>
        <v>0</v>
      </c>
      <c r="AZ51" s="40">
        <v>0</v>
      </c>
      <c r="BA51" s="40"/>
      <c r="BB51" s="40">
        <f t="shared" si="45"/>
        <v>0</v>
      </c>
      <c r="BD51" s="85">
        <v>51667</v>
      </c>
      <c r="BE51" s="40">
        <v>0</v>
      </c>
      <c r="BF51" s="101"/>
      <c r="BG51" s="40">
        <f t="shared" si="39"/>
        <v>0</v>
      </c>
      <c r="BH51" s="40">
        <v>0</v>
      </c>
      <c r="BI51" s="40"/>
      <c r="BJ51" s="40">
        <f t="shared" si="46"/>
        <v>0</v>
      </c>
      <c r="BL51" s="85">
        <v>51667</v>
      </c>
      <c r="BM51" s="40"/>
      <c r="BN51" s="101"/>
      <c r="BO51" s="40"/>
      <c r="BP51" s="101"/>
      <c r="BQ51" s="40">
        <f t="shared" si="47"/>
        <v>19862625</v>
      </c>
      <c r="BR51" s="40"/>
      <c r="BS51" s="40"/>
      <c r="BT51" s="40">
        <f t="shared" si="48"/>
        <v>19862625</v>
      </c>
      <c r="BV51" s="85">
        <v>51667</v>
      </c>
      <c r="BW51" s="40"/>
      <c r="BX51" s="101"/>
      <c r="BY51" s="40"/>
      <c r="BZ51" s="40"/>
      <c r="CA51" s="40"/>
      <c r="CB51" s="40">
        <f t="shared" si="40"/>
        <v>0</v>
      </c>
      <c r="CD51" s="85">
        <v>51667</v>
      </c>
      <c r="CE51" s="40">
        <v>0</v>
      </c>
      <c r="CG51" s="40">
        <v>4750125</v>
      </c>
      <c r="CH51" s="40">
        <v>0</v>
      </c>
      <c r="CI51" s="40"/>
      <c r="CJ51" s="40">
        <f t="shared" si="49"/>
        <v>4750125</v>
      </c>
      <c r="CL51" s="85">
        <v>51667</v>
      </c>
      <c r="CM51" s="40">
        <v>0</v>
      </c>
      <c r="CN51" s="101"/>
      <c r="CO51" s="40">
        <v>884873.75</v>
      </c>
      <c r="CP51" s="40">
        <v>0</v>
      </c>
      <c r="CQ51" s="40">
        <f t="shared" si="50"/>
        <v>884873.75</v>
      </c>
      <c r="CS51" s="85">
        <v>51667</v>
      </c>
      <c r="CT51" s="40">
        <v>0</v>
      </c>
      <c r="CU51" s="40"/>
      <c r="CV51" s="40">
        <v>3425625</v>
      </c>
      <c r="CW51" s="40">
        <v>0</v>
      </c>
      <c r="CX51" s="40">
        <f t="shared" si="51"/>
        <v>3425625</v>
      </c>
      <c r="CZ51" s="85">
        <v>51667</v>
      </c>
      <c r="DA51" s="40">
        <v>935000</v>
      </c>
      <c r="DB51" s="101">
        <v>0.05</v>
      </c>
      <c r="DC51" s="40">
        <v>1068250</v>
      </c>
      <c r="DD51" s="40">
        <f t="shared" si="52"/>
        <v>2003250</v>
      </c>
      <c r="DF51" s="85">
        <v>51667</v>
      </c>
      <c r="DG51" s="40">
        <v>0</v>
      </c>
      <c r="DH51" s="87">
        <v>0</v>
      </c>
      <c r="DI51" s="40">
        <f t="shared" si="36"/>
        <v>0</v>
      </c>
      <c r="DJ51" s="40">
        <f t="shared" si="53"/>
        <v>0</v>
      </c>
      <c r="DL51" s="85">
        <v>51667</v>
      </c>
      <c r="DM51" s="40">
        <v>13519105.6</v>
      </c>
      <c r="DN51" s="87">
        <v>5.45E-2</v>
      </c>
      <c r="DO51" s="40"/>
      <c r="DP51" s="40">
        <v>50515751</v>
      </c>
      <c r="DQ51" s="40">
        <f t="shared" si="54"/>
        <v>64034856.600000001</v>
      </c>
      <c r="DS51" s="85">
        <v>51667</v>
      </c>
      <c r="DU51" s="87"/>
      <c r="DY51" s="85">
        <v>51667</v>
      </c>
      <c r="DZ51" s="40"/>
      <c r="EA51" s="87"/>
      <c r="EB51" s="40"/>
      <c r="EC51" s="40">
        <v>0</v>
      </c>
      <c r="ED51" s="40">
        <f t="shared" si="55"/>
        <v>0</v>
      </c>
      <c r="EF51" s="85">
        <v>51667</v>
      </c>
      <c r="EG51" s="40"/>
      <c r="EH51" s="87"/>
      <c r="EI51" s="40"/>
      <c r="EJ51" s="40">
        <f t="shared" si="56"/>
        <v>0</v>
      </c>
      <c r="EL51" s="85">
        <v>51667</v>
      </c>
      <c r="EM51" s="40">
        <v>338452.4</v>
      </c>
      <c r="EN51" s="87"/>
      <c r="EO51" s="40">
        <v>0</v>
      </c>
      <c r="EP51" s="40">
        <v>31381547.600000001</v>
      </c>
      <c r="EQ51" s="40">
        <f t="shared" si="57"/>
        <v>31720000</v>
      </c>
      <c r="ES51" s="85">
        <v>51667</v>
      </c>
      <c r="EU51" s="87"/>
      <c r="EX51" s="40">
        <f t="shared" si="58"/>
        <v>0</v>
      </c>
      <c r="EZ51" s="85">
        <v>51667</v>
      </c>
      <c r="FF51" s="85">
        <v>51667</v>
      </c>
      <c r="FJ51" s="40">
        <f t="shared" si="59"/>
        <v>0</v>
      </c>
      <c r="FL51" s="85">
        <v>51667</v>
      </c>
      <c r="FP51" s="40">
        <f t="shared" si="60"/>
        <v>0</v>
      </c>
      <c r="FR51" s="85">
        <v>51667</v>
      </c>
      <c r="FW51" s="40">
        <f t="shared" si="61"/>
        <v>0</v>
      </c>
      <c r="FY51" s="85">
        <v>51667</v>
      </c>
      <c r="GD51" s="40">
        <f t="shared" si="62"/>
        <v>0</v>
      </c>
      <c r="GF51" s="85">
        <v>51667</v>
      </c>
      <c r="GK51" s="40">
        <f t="shared" si="63"/>
        <v>0</v>
      </c>
      <c r="GM51" s="85">
        <v>51667</v>
      </c>
      <c r="GR51" s="40">
        <f t="shared" si="64"/>
        <v>0</v>
      </c>
    </row>
    <row r="52" spans="1:200" x14ac:dyDescent="0.25">
      <c r="A52" s="118">
        <f t="shared" si="37"/>
        <v>58241</v>
      </c>
      <c r="F52" s="85">
        <v>51866</v>
      </c>
      <c r="G52" s="85"/>
      <c r="H52" s="85">
        <v>51850</v>
      </c>
      <c r="I52" s="40"/>
      <c r="O52" s="85">
        <v>51866</v>
      </c>
      <c r="P52" s="85"/>
      <c r="Q52" s="85">
        <v>51850</v>
      </c>
      <c r="R52" s="40">
        <f t="shared" si="33"/>
        <v>146610181</v>
      </c>
      <c r="S52" s="40">
        <f t="shared" si="34"/>
        <v>44577773.75</v>
      </c>
      <c r="T52" s="40">
        <f t="shared" si="35"/>
        <v>39654819</v>
      </c>
      <c r="U52" s="40">
        <f t="shared" si="32"/>
        <v>0</v>
      </c>
      <c r="V52" s="40">
        <f t="shared" si="41"/>
        <v>230842773.75</v>
      </c>
      <c r="X52" s="85">
        <v>51850</v>
      </c>
      <c r="Y52" s="40">
        <v>132919045.59999999</v>
      </c>
      <c r="Z52" s="101" t="s">
        <v>132</v>
      </c>
      <c r="AA52" s="40">
        <v>12971900</v>
      </c>
      <c r="AB52" s="40">
        <v>4790954.4000000004</v>
      </c>
      <c r="AC52" s="40"/>
      <c r="AD52" s="40">
        <f t="shared" si="3"/>
        <v>150681900</v>
      </c>
      <c r="AF52" s="85">
        <v>51850</v>
      </c>
      <c r="AG52" s="40"/>
      <c r="AH52" s="101"/>
      <c r="AI52" s="40">
        <f t="shared" si="38"/>
        <v>0</v>
      </c>
      <c r="AJ52" s="40">
        <v>0</v>
      </c>
      <c r="AK52" s="40"/>
      <c r="AL52" s="40">
        <f t="shared" si="42"/>
        <v>0</v>
      </c>
      <c r="AN52" s="85">
        <v>51850</v>
      </c>
      <c r="AO52" s="40">
        <v>0</v>
      </c>
      <c r="AP52" s="101"/>
      <c r="AQ52" s="40">
        <f t="shared" si="43"/>
        <v>1637750</v>
      </c>
      <c r="AR52" s="40">
        <v>0</v>
      </c>
      <c r="AS52" s="40"/>
      <c r="AT52" s="40">
        <f t="shared" si="44"/>
        <v>1637750</v>
      </c>
      <c r="AV52" s="85">
        <v>51850</v>
      </c>
      <c r="AW52" s="40">
        <v>0</v>
      </c>
      <c r="AX52" s="101"/>
      <c r="AY52" s="40">
        <f t="shared" si="7"/>
        <v>0</v>
      </c>
      <c r="AZ52" s="40">
        <v>0</v>
      </c>
      <c r="BA52" s="40"/>
      <c r="BB52" s="40">
        <f t="shared" si="45"/>
        <v>0</v>
      </c>
      <c r="BD52" s="85">
        <v>51850</v>
      </c>
      <c r="BE52" s="40">
        <v>0</v>
      </c>
      <c r="BF52" s="101"/>
      <c r="BG52" s="40">
        <f t="shared" si="39"/>
        <v>0</v>
      </c>
      <c r="BH52" s="40">
        <v>0</v>
      </c>
      <c r="BI52" s="40"/>
      <c r="BJ52" s="40">
        <f t="shared" si="46"/>
        <v>0</v>
      </c>
      <c r="BL52" s="85">
        <v>51850</v>
      </c>
      <c r="BM52" s="40"/>
      <c r="BN52" s="101"/>
      <c r="BO52" s="40"/>
      <c r="BP52" s="101"/>
      <c r="BQ52" s="40">
        <f t="shared" si="47"/>
        <v>19862625</v>
      </c>
      <c r="BR52" s="40"/>
      <c r="BS52" s="40"/>
      <c r="BT52" s="40">
        <f t="shared" si="48"/>
        <v>19862625</v>
      </c>
      <c r="BV52" s="85">
        <v>51850</v>
      </c>
      <c r="BW52" s="40"/>
      <c r="BX52" s="101"/>
      <c r="BY52" s="40"/>
      <c r="BZ52" s="40"/>
      <c r="CA52" s="40"/>
      <c r="CB52" s="40">
        <f t="shared" si="40"/>
        <v>0</v>
      </c>
      <c r="CD52" s="85">
        <v>51850</v>
      </c>
      <c r="CE52" s="40">
        <v>0</v>
      </c>
      <c r="CG52" s="40">
        <v>4750125</v>
      </c>
      <c r="CH52" s="40">
        <v>0</v>
      </c>
      <c r="CI52" s="40"/>
      <c r="CJ52" s="40">
        <f t="shared" si="49"/>
        <v>4750125</v>
      </c>
      <c r="CL52" s="85">
        <v>51850</v>
      </c>
      <c r="CM52" s="40">
        <v>2306518.2000000002</v>
      </c>
      <c r="CN52" s="101">
        <v>4.8500000000000001E-2</v>
      </c>
      <c r="CO52" s="40">
        <v>884873.75</v>
      </c>
      <c r="CP52" s="40">
        <v>2103481.7999999998</v>
      </c>
      <c r="CQ52" s="40">
        <f t="shared" si="50"/>
        <v>5294873.75</v>
      </c>
      <c r="CS52" s="85">
        <v>51850</v>
      </c>
      <c r="CT52" s="40">
        <v>0</v>
      </c>
      <c r="CU52" s="40"/>
      <c r="CV52" s="40">
        <v>3425625</v>
      </c>
      <c r="CW52" s="40">
        <v>0</v>
      </c>
      <c r="CX52" s="40">
        <f t="shared" si="51"/>
        <v>3425625</v>
      </c>
      <c r="CZ52" s="85">
        <v>51850</v>
      </c>
      <c r="DA52" s="40">
        <v>2910000</v>
      </c>
      <c r="DB52" s="101">
        <v>0.05</v>
      </c>
      <c r="DC52" s="40">
        <v>1044875</v>
      </c>
      <c r="DD52" s="40">
        <f t="shared" si="52"/>
        <v>3954875</v>
      </c>
      <c r="DF52" s="85">
        <v>51850</v>
      </c>
      <c r="DG52" s="40">
        <v>0</v>
      </c>
      <c r="DH52" s="87"/>
      <c r="DI52" s="40">
        <f t="shared" si="36"/>
        <v>0</v>
      </c>
      <c r="DJ52" s="40">
        <f t="shared" si="53"/>
        <v>0</v>
      </c>
      <c r="DL52" s="85">
        <v>51850</v>
      </c>
      <c r="DM52" s="40">
        <f>69299617.2-60825000</f>
        <v>8474617.200000003</v>
      </c>
      <c r="DN52" s="122" t="s">
        <v>90</v>
      </c>
      <c r="DO52" s="40"/>
      <c r="DP52" s="40">
        <v>32760382.800000001</v>
      </c>
      <c r="DQ52" s="40">
        <f t="shared" si="54"/>
        <v>41235000</v>
      </c>
      <c r="DS52" s="85">
        <v>51850</v>
      </c>
      <c r="DU52" s="87"/>
      <c r="DY52" s="85">
        <v>51850</v>
      </c>
      <c r="DZ52" s="40"/>
      <c r="EA52" s="87"/>
      <c r="EB52" s="40"/>
      <c r="EC52" s="40">
        <v>0</v>
      </c>
      <c r="ED52" s="40">
        <f t="shared" si="55"/>
        <v>0</v>
      </c>
      <c r="EF52" s="85">
        <v>51850</v>
      </c>
      <c r="EG52" s="40"/>
      <c r="EH52" s="87"/>
      <c r="EI52" s="40"/>
      <c r="EJ52" s="40">
        <f t="shared" si="56"/>
        <v>0</v>
      </c>
      <c r="EL52" s="85">
        <v>51850</v>
      </c>
      <c r="EM52" s="40"/>
      <c r="EN52" s="87"/>
      <c r="EO52" s="40"/>
      <c r="EP52" s="40"/>
      <c r="EQ52" s="40">
        <f t="shared" si="57"/>
        <v>0</v>
      </c>
      <c r="ES52" s="85">
        <v>51850</v>
      </c>
      <c r="EU52" s="87"/>
      <c r="EX52" s="40">
        <f t="shared" si="58"/>
        <v>0</v>
      </c>
      <c r="EZ52" s="85">
        <v>51850</v>
      </c>
      <c r="FF52" s="85">
        <v>51850</v>
      </c>
      <c r="FJ52" s="40">
        <f t="shared" si="59"/>
        <v>0</v>
      </c>
      <c r="FL52" s="85">
        <v>51850</v>
      </c>
      <c r="FP52" s="40">
        <f t="shared" si="60"/>
        <v>0</v>
      </c>
      <c r="FR52" s="85">
        <v>51850</v>
      </c>
      <c r="FW52" s="40">
        <f t="shared" si="61"/>
        <v>0</v>
      </c>
      <c r="FY52" s="85">
        <v>51850</v>
      </c>
      <c r="GD52" s="40">
        <f t="shared" si="62"/>
        <v>0</v>
      </c>
      <c r="GF52" s="85">
        <v>51850</v>
      </c>
      <c r="GK52" s="40">
        <f t="shared" si="63"/>
        <v>0</v>
      </c>
      <c r="GM52" s="85">
        <v>51850</v>
      </c>
      <c r="GR52" s="40">
        <f t="shared" si="64"/>
        <v>0</v>
      </c>
    </row>
    <row r="53" spans="1:200" x14ac:dyDescent="0.25">
      <c r="A53" s="118">
        <f t="shared" si="37"/>
        <v>58607</v>
      </c>
      <c r="F53" s="85">
        <v>52047</v>
      </c>
      <c r="G53" s="85"/>
      <c r="H53" s="85">
        <v>52032</v>
      </c>
      <c r="I53" s="40">
        <f>SUM(Y52,Y53,AG52:AG53,AO52:AO53,AW52:AW53,BE52:BE53,BM52:BM53,BO52:BO53,BW52:BW53,CE52:CE53,CM52:CM53,CT52:CT53,DA52:DA53,DG52:DG53,DM52:DM53,DT52:DT53,DZ52:DZ53,EG52:EG53,EM52:EM53,ET52:ET53,FA52:FA53,FG52:FG53,FM52:FM53,FS52:FS53,FZ52:FZ53,GG52:GG53,GN52:GN53)</f>
        <v>256470181</v>
      </c>
      <c r="J53" s="40">
        <f>SUM(AA52,AA53,AI52:AI53,AQ52:AQ53,AY52:AY53,BG52:BG53,BQ52:BQ53,BY52:BY53,CG52:CG53,CO52:CO53,CV52:CV53,DC52:DC53,DI52:DI53,DO52:DO53,DV52:DV53,EB52:EB53,EI52:EI53,EO52:EO53,EV52:EV53,FC52:FC53,FI52:FI53,FO52:FO53,FU52:FU53,GB52:GB53,GI52:GI53,GP52:GP53)</f>
        <v>86447255</v>
      </c>
      <c r="K53" s="40">
        <f>SUM(AB52,AB53,BR52:BR53,BZ52:BZ53,CH52:CH53,CP52:CP53,CW52:CW53,DP52:DP53,EC52:EC53,EP52:EP53,EW52:EW53,FV52:FV53,GC52:GC53,GJ52:GJ53,GQ52:GQ53)</f>
        <v>39654819</v>
      </c>
      <c r="L53" s="40">
        <f>SUM(AC52,AC53,AS52:AS53,BA52:BA53,BI52:BI53,BS52:BS53,CA52:CA53,CI52:CI53)</f>
        <v>0</v>
      </c>
      <c r="M53" s="40">
        <f>SUM(I53:L53)</f>
        <v>382572255</v>
      </c>
      <c r="O53" s="85">
        <v>52047</v>
      </c>
      <c r="P53" s="85"/>
      <c r="Q53" s="85">
        <v>52032</v>
      </c>
      <c r="R53" s="40">
        <f t="shared" si="33"/>
        <v>109860000</v>
      </c>
      <c r="S53" s="40">
        <f t="shared" si="34"/>
        <v>41869481.25</v>
      </c>
      <c r="T53" s="40">
        <f t="shared" si="35"/>
        <v>0</v>
      </c>
      <c r="U53" s="40">
        <f t="shared" si="32"/>
        <v>0</v>
      </c>
      <c r="V53" s="40">
        <f t="shared" si="41"/>
        <v>151729481.25</v>
      </c>
      <c r="X53" s="85">
        <v>52032</v>
      </c>
      <c r="Y53" s="40">
        <v>44350000</v>
      </c>
      <c r="Z53" s="101">
        <v>0.04</v>
      </c>
      <c r="AA53" s="40">
        <v>10443300</v>
      </c>
      <c r="AB53" s="40">
        <v>0</v>
      </c>
      <c r="AC53" s="40"/>
      <c r="AD53" s="40">
        <f t="shared" si="3"/>
        <v>54793300</v>
      </c>
      <c r="AF53" s="85">
        <v>52032</v>
      </c>
      <c r="AG53" s="40"/>
      <c r="AH53" s="101"/>
      <c r="AI53" s="40">
        <f t="shared" si="38"/>
        <v>0</v>
      </c>
      <c r="AJ53" s="40">
        <v>0</v>
      </c>
      <c r="AK53" s="40"/>
      <c r="AL53" s="40">
        <f t="shared" si="42"/>
        <v>0</v>
      </c>
      <c r="AN53" s="85">
        <v>52032</v>
      </c>
      <c r="AO53" s="40">
        <v>65510000</v>
      </c>
      <c r="AP53" s="101">
        <v>0.05</v>
      </c>
      <c r="AQ53" s="40">
        <f t="shared" si="43"/>
        <v>1637750</v>
      </c>
      <c r="AR53" s="40">
        <v>0</v>
      </c>
      <c r="AS53" s="40"/>
      <c r="AT53" s="40">
        <f t="shared" si="44"/>
        <v>67147750</v>
      </c>
      <c r="AV53" s="85">
        <v>52032</v>
      </c>
      <c r="AW53" s="40">
        <v>0</v>
      </c>
      <c r="AX53" s="101"/>
      <c r="AY53" s="40">
        <f t="shared" si="7"/>
        <v>0</v>
      </c>
      <c r="AZ53" s="40">
        <v>0</v>
      </c>
      <c r="BA53" s="40"/>
      <c r="BB53" s="40">
        <f t="shared" si="45"/>
        <v>0</v>
      </c>
      <c r="BD53" s="85">
        <v>52032</v>
      </c>
      <c r="BE53" s="40">
        <v>0</v>
      </c>
      <c r="BF53" s="101"/>
      <c r="BG53" s="40">
        <f t="shared" si="39"/>
        <v>0</v>
      </c>
      <c r="BH53" s="40">
        <v>0</v>
      </c>
      <c r="BI53" s="40"/>
      <c r="BJ53" s="40">
        <f t="shared" si="46"/>
        <v>0</v>
      </c>
      <c r="BL53" s="85">
        <v>52032</v>
      </c>
      <c r="BM53" s="40"/>
      <c r="BN53" s="101"/>
      <c r="BO53" s="40"/>
      <c r="BP53" s="101"/>
      <c r="BQ53" s="40">
        <f t="shared" si="47"/>
        <v>19862625</v>
      </c>
      <c r="BR53" s="40"/>
      <c r="BS53" s="40"/>
      <c r="BT53" s="40">
        <f t="shared" si="48"/>
        <v>19862625</v>
      </c>
      <c r="BV53" s="85">
        <v>52032</v>
      </c>
      <c r="BW53" s="40"/>
      <c r="BX53" s="40"/>
      <c r="BY53" s="40"/>
      <c r="BZ53" s="40"/>
      <c r="CA53" s="40"/>
      <c r="CB53" s="40">
        <f t="shared" si="40"/>
        <v>0</v>
      </c>
      <c r="CD53" s="85">
        <v>52032</v>
      </c>
      <c r="CE53" s="40">
        <v>0</v>
      </c>
      <c r="CG53" s="40">
        <v>4750125</v>
      </c>
      <c r="CH53" s="40">
        <v>0</v>
      </c>
      <c r="CI53" s="40"/>
      <c r="CJ53" s="40">
        <f t="shared" si="49"/>
        <v>4750125</v>
      </c>
      <c r="CL53" s="85">
        <v>52032</v>
      </c>
      <c r="CM53" s="40">
        <v>0</v>
      </c>
      <c r="CN53" s="101"/>
      <c r="CO53" s="40">
        <v>777931.25</v>
      </c>
      <c r="CP53" s="40">
        <v>0</v>
      </c>
      <c r="CQ53" s="40">
        <f t="shared" si="50"/>
        <v>777931.25</v>
      </c>
      <c r="CS53" s="85">
        <v>52032</v>
      </c>
      <c r="CT53" s="40">
        <v>0</v>
      </c>
      <c r="CU53" s="40"/>
      <c r="CV53" s="40">
        <v>3425625</v>
      </c>
      <c r="CW53" s="40">
        <v>0</v>
      </c>
      <c r="CX53" s="40">
        <f t="shared" si="51"/>
        <v>3425625</v>
      </c>
      <c r="CZ53" s="85">
        <v>52032</v>
      </c>
      <c r="DA53" s="40">
        <v>0</v>
      </c>
      <c r="DB53" s="40"/>
      <c r="DC53" s="40">
        <v>972125</v>
      </c>
      <c r="DD53" s="40">
        <f t="shared" si="52"/>
        <v>972125</v>
      </c>
      <c r="DF53" s="85">
        <v>52032</v>
      </c>
      <c r="DG53" s="40">
        <v>0</v>
      </c>
      <c r="DH53" s="87"/>
      <c r="DI53" s="40">
        <f t="shared" si="36"/>
        <v>0</v>
      </c>
      <c r="DJ53" s="40">
        <f t="shared" si="53"/>
        <v>0</v>
      </c>
      <c r="DL53" s="85">
        <v>52032</v>
      </c>
      <c r="DM53" s="40">
        <v>0</v>
      </c>
      <c r="DN53" s="87"/>
      <c r="DO53" s="40"/>
      <c r="DP53" s="40">
        <v>0</v>
      </c>
      <c r="DQ53" s="40">
        <f t="shared" si="54"/>
        <v>0</v>
      </c>
      <c r="DS53" s="85">
        <v>52032</v>
      </c>
      <c r="DU53" s="87"/>
      <c r="DY53" s="85">
        <v>52032</v>
      </c>
      <c r="DZ53" s="40"/>
      <c r="EA53" s="87"/>
      <c r="EB53" s="40"/>
      <c r="EC53" s="40">
        <v>0</v>
      </c>
      <c r="ED53" s="40">
        <f t="shared" si="55"/>
        <v>0</v>
      </c>
      <c r="EF53" s="85">
        <v>52032</v>
      </c>
      <c r="EG53" s="40"/>
      <c r="EH53" s="87"/>
      <c r="EI53" s="40"/>
      <c r="EJ53" s="40">
        <f t="shared" si="56"/>
        <v>0</v>
      </c>
      <c r="EL53" s="85">
        <v>52032</v>
      </c>
      <c r="EM53" s="40"/>
      <c r="EN53" s="87"/>
      <c r="EO53" s="40"/>
      <c r="EP53" s="40"/>
      <c r="EQ53" s="40">
        <f t="shared" si="57"/>
        <v>0</v>
      </c>
      <c r="ES53" s="85">
        <v>52032</v>
      </c>
      <c r="EU53" s="87"/>
      <c r="EX53" s="40">
        <f t="shared" si="58"/>
        <v>0</v>
      </c>
      <c r="EZ53" s="85">
        <v>52032</v>
      </c>
      <c r="FF53" s="85">
        <v>52032</v>
      </c>
      <c r="FJ53" s="40">
        <f t="shared" si="59"/>
        <v>0</v>
      </c>
      <c r="FL53" s="85">
        <v>52032</v>
      </c>
      <c r="FP53" s="40">
        <f t="shared" si="60"/>
        <v>0</v>
      </c>
      <c r="FR53" s="85">
        <v>52032</v>
      </c>
      <c r="FW53" s="40">
        <f t="shared" si="61"/>
        <v>0</v>
      </c>
      <c r="FY53" s="85">
        <v>52032</v>
      </c>
      <c r="GD53" s="40">
        <f t="shared" si="62"/>
        <v>0</v>
      </c>
      <c r="GF53" s="85">
        <v>52032</v>
      </c>
      <c r="GK53" s="40">
        <f t="shared" si="63"/>
        <v>0</v>
      </c>
      <c r="GM53" s="85">
        <v>52032</v>
      </c>
      <c r="GR53" s="40">
        <f t="shared" si="64"/>
        <v>0</v>
      </c>
    </row>
    <row r="54" spans="1:200" x14ac:dyDescent="0.25">
      <c r="F54" s="85">
        <v>52231</v>
      </c>
      <c r="G54" s="85"/>
      <c r="H54" s="85">
        <v>52215</v>
      </c>
      <c r="I54" s="40"/>
      <c r="O54" s="85">
        <v>52231</v>
      </c>
      <c r="P54" s="85"/>
      <c r="Q54" s="85">
        <v>52215</v>
      </c>
      <c r="R54" s="40">
        <f t="shared" si="33"/>
        <v>34993967.5</v>
      </c>
      <c r="S54" s="40">
        <f t="shared" si="34"/>
        <v>39344731.25</v>
      </c>
      <c r="T54" s="40">
        <f t="shared" si="35"/>
        <v>2206032.5</v>
      </c>
      <c r="U54" s="40">
        <f t="shared" si="32"/>
        <v>0</v>
      </c>
      <c r="V54" s="40">
        <f t="shared" si="41"/>
        <v>76544731.25</v>
      </c>
      <c r="X54" s="85">
        <v>52215</v>
      </c>
      <c r="Y54" s="40">
        <v>27910000</v>
      </c>
      <c r="Z54" s="101">
        <v>0.04</v>
      </c>
      <c r="AA54" s="40">
        <v>9556300</v>
      </c>
      <c r="AB54" s="40">
        <v>0</v>
      </c>
      <c r="AC54" s="40"/>
      <c r="AD54" s="40">
        <f t="shared" si="3"/>
        <v>37466300</v>
      </c>
      <c r="AF54" s="85">
        <v>52215</v>
      </c>
      <c r="AG54" s="40"/>
      <c r="AH54" s="101"/>
      <c r="AI54" s="40">
        <f t="shared" si="38"/>
        <v>0</v>
      </c>
      <c r="AJ54" s="40">
        <v>0</v>
      </c>
      <c r="AK54" s="40"/>
      <c r="AL54" s="40">
        <f t="shared" si="42"/>
        <v>0</v>
      </c>
      <c r="AN54" s="85">
        <v>52215</v>
      </c>
      <c r="AO54" s="40">
        <v>0</v>
      </c>
      <c r="AP54" s="101"/>
      <c r="AQ54" s="40">
        <f t="shared" si="43"/>
        <v>0</v>
      </c>
      <c r="AR54" s="40">
        <v>0</v>
      </c>
      <c r="AS54" s="40"/>
      <c r="AT54" s="40">
        <f t="shared" si="44"/>
        <v>0</v>
      </c>
      <c r="AV54" s="85">
        <v>52215</v>
      </c>
      <c r="AW54" s="40">
        <v>0</v>
      </c>
      <c r="AX54" s="101"/>
      <c r="AY54" s="40">
        <f t="shared" si="7"/>
        <v>0</v>
      </c>
      <c r="AZ54" s="40">
        <v>0</v>
      </c>
      <c r="BA54" s="40"/>
      <c r="BB54" s="40">
        <f t="shared" si="45"/>
        <v>0</v>
      </c>
      <c r="BD54" s="85">
        <v>52215</v>
      </c>
      <c r="BE54" s="40">
        <v>0</v>
      </c>
      <c r="BF54" s="101"/>
      <c r="BG54" s="40">
        <f t="shared" si="39"/>
        <v>0</v>
      </c>
      <c r="BH54" s="40">
        <v>0</v>
      </c>
      <c r="BI54" s="40"/>
      <c r="BJ54" s="40">
        <f t="shared" si="46"/>
        <v>0</v>
      </c>
      <c r="BL54" s="85">
        <v>52215</v>
      </c>
      <c r="BM54" s="40">
        <v>1595000</v>
      </c>
      <c r="BN54" s="101">
        <v>0.05</v>
      </c>
      <c r="BO54" s="40"/>
      <c r="BP54" s="101"/>
      <c r="BQ54" s="40">
        <f t="shared" si="47"/>
        <v>19862625</v>
      </c>
      <c r="BR54" s="40"/>
      <c r="BS54" s="40"/>
      <c r="BT54" s="40">
        <f t="shared" si="48"/>
        <v>21457625</v>
      </c>
      <c r="BV54" s="85">
        <v>52215</v>
      </c>
      <c r="BW54" s="40"/>
      <c r="BX54" s="40"/>
      <c r="BY54" s="40"/>
      <c r="BZ54" s="40"/>
      <c r="CA54" s="40"/>
      <c r="CB54" s="40">
        <f t="shared" si="40"/>
        <v>0</v>
      </c>
      <c r="CD54" s="85">
        <v>52215</v>
      </c>
      <c r="CE54" s="40">
        <v>0</v>
      </c>
      <c r="CG54" s="40">
        <v>4750125</v>
      </c>
      <c r="CH54" s="40">
        <v>0</v>
      </c>
      <c r="CI54" s="40"/>
      <c r="CJ54" s="40">
        <f t="shared" si="49"/>
        <v>4750125</v>
      </c>
      <c r="CL54" s="85">
        <v>52215</v>
      </c>
      <c r="CM54" s="40">
        <v>2418967.5</v>
      </c>
      <c r="CN54" s="101">
        <v>4.8500000000000001E-2</v>
      </c>
      <c r="CO54" s="40">
        <v>777931.25</v>
      </c>
      <c r="CP54" s="40">
        <v>2206032.5</v>
      </c>
      <c r="CQ54" s="40">
        <f t="shared" si="50"/>
        <v>5402931.25</v>
      </c>
      <c r="CS54" s="85">
        <v>52215</v>
      </c>
      <c r="CT54" s="40">
        <v>0</v>
      </c>
      <c r="CU54" s="40"/>
      <c r="CV54" s="40">
        <v>3425625</v>
      </c>
      <c r="CW54" s="40">
        <v>0</v>
      </c>
      <c r="CX54" s="40">
        <f t="shared" si="51"/>
        <v>3425625</v>
      </c>
      <c r="CZ54" s="85">
        <v>52215</v>
      </c>
      <c r="DA54" s="40">
        <v>3070000</v>
      </c>
      <c r="DB54" s="101">
        <v>0.05</v>
      </c>
      <c r="DC54" s="40">
        <v>972125</v>
      </c>
      <c r="DD54" s="40">
        <f t="shared" si="52"/>
        <v>4042125</v>
      </c>
      <c r="DF54" s="85">
        <v>52215</v>
      </c>
      <c r="DJ54" s="40">
        <f t="shared" si="53"/>
        <v>0</v>
      </c>
      <c r="DL54" s="85">
        <v>52215</v>
      </c>
      <c r="DM54" s="40">
        <v>0</v>
      </c>
      <c r="DN54" s="87">
        <v>0</v>
      </c>
      <c r="DO54" s="40"/>
      <c r="DP54" s="40">
        <v>0</v>
      </c>
      <c r="DQ54" s="40">
        <f t="shared" si="54"/>
        <v>0</v>
      </c>
      <c r="DS54" s="85">
        <v>52215</v>
      </c>
      <c r="DU54" s="87"/>
      <c r="DY54" s="85">
        <v>52215</v>
      </c>
      <c r="DZ54" s="40"/>
      <c r="EA54" s="87"/>
      <c r="EB54" s="40"/>
      <c r="EC54" s="40">
        <v>0</v>
      </c>
      <c r="ED54" s="40">
        <f t="shared" si="55"/>
        <v>0</v>
      </c>
      <c r="EF54" s="85">
        <v>52215</v>
      </c>
      <c r="EG54" s="40"/>
      <c r="EH54" s="87"/>
      <c r="EI54" s="40"/>
      <c r="EJ54" s="40">
        <f t="shared" si="56"/>
        <v>0</v>
      </c>
      <c r="EL54" s="85">
        <v>52215</v>
      </c>
      <c r="EM54" s="40"/>
      <c r="EN54" s="87"/>
      <c r="EO54" s="40"/>
      <c r="EP54" s="40"/>
      <c r="EQ54" s="40">
        <f t="shared" si="57"/>
        <v>0</v>
      </c>
      <c r="ES54" s="85">
        <v>52215</v>
      </c>
      <c r="EU54" s="87"/>
      <c r="EX54" s="40">
        <f t="shared" si="58"/>
        <v>0</v>
      </c>
      <c r="EZ54" s="85">
        <v>52215</v>
      </c>
      <c r="FF54" s="85">
        <v>52215</v>
      </c>
      <c r="FJ54" s="40">
        <f t="shared" si="59"/>
        <v>0</v>
      </c>
      <c r="FL54" s="85">
        <v>52215</v>
      </c>
      <c r="FP54" s="40">
        <f t="shared" si="60"/>
        <v>0</v>
      </c>
      <c r="FR54" s="85">
        <v>52215</v>
      </c>
      <c r="FW54" s="40">
        <f t="shared" si="61"/>
        <v>0</v>
      </c>
      <c r="FY54" s="85">
        <v>52215</v>
      </c>
      <c r="GD54" s="40">
        <f t="shared" si="62"/>
        <v>0</v>
      </c>
      <c r="GF54" s="85">
        <v>52215</v>
      </c>
      <c r="GK54" s="40">
        <f t="shared" si="63"/>
        <v>0</v>
      </c>
      <c r="GM54" s="85">
        <v>52215</v>
      </c>
      <c r="GR54" s="40">
        <f t="shared" si="64"/>
        <v>0</v>
      </c>
    </row>
    <row r="55" spans="1:200" x14ac:dyDescent="0.25">
      <c r="F55" s="85">
        <v>52412</v>
      </c>
      <c r="G55" s="85"/>
      <c r="H55" s="85">
        <v>52397</v>
      </c>
      <c r="I55" s="40">
        <f>SUM(Y54,Y55,AG54:AG55,AO54:AO55,AW54:AW55,BE54:BE55,BM54:BM55,BO54:BO55,BW54:BW55,CE54:CE55,CM54:CM55,CT54:CT55,DA54:DA55,DG54:DG55,DM54:DM55,DT54:DT55,DZ54:DZ55,EG54:EG55,EM54:EM55,ET54:ET55,FA54:FA55,FG54:FG55,FM54:FM55,FS54:FS55,FZ54:FZ55,GG54:GG55,GN54:GN55)</f>
        <v>71062297</v>
      </c>
      <c r="J55" s="40">
        <f>SUM(AA54,AA55,AI54:AI55,AQ54:AQ55,AY54:AY55,BG54:BG55,BQ54:BQ55,BY54:BY55,CG54:CG55,CO54:CO55,CV54:CV55,DC54:DC55,DI54:DI55,DO54:DO55,DV54:DV55,EB54:EB55,EI54:EI55,EO54:EO55,EV54:EV55,FC54:FC55,FI54:FI55,FO54:FO55,FU54:FU55,GB54:GB55,GI54:GI55,GP54:GP55)</f>
        <v>77902481.25</v>
      </c>
      <c r="K55" s="40">
        <f>SUM(AB54,AB55,BR54:BR55,BZ54:BZ55,CH54:CH55,CP54:CP55,CW54:CW55,DP54:DP55,EC54:EC55,EP54:EP55,EW54:EW55,FV54:FV55,GC54:GC55,GJ54:GJ55,GQ54:GQ55)</f>
        <v>233607703</v>
      </c>
      <c r="L55" s="40">
        <f>SUM(AC54,AC55,AS54:AS55,BA54:BA55,BI54:BI55,BS54:BS55,CA54:CA55,CI54:CI55)</f>
        <v>0</v>
      </c>
      <c r="M55" s="40">
        <f>SUM(I55:L55)</f>
        <v>382572481.25</v>
      </c>
      <c r="O55" s="85">
        <v>52412</v>
      </c>
      <c r="P55" s="85"/>
      <c r="Q55" s="85">
        <v>52397</v>
      </c>
      <c r="R55" s="40">
        <f t="shared" si="33"/>
        <v>36068329.5</v>
      </c>
      <c r="S55" s="40">
        <f t="shared" si="34"/>
        <v>38557750</v>
      </c>
      <c r="T55" s="40">
        <f t="shared" si="35"/>
        <v>231401670.5</v>
      </c>
      <c r="U55" s="40">
        <f t="shared" si="32"/>
        <v>0</v>
      </c>
      <c r="V55" s="40">
        <f t="shared" si="41"/>
        <v>306027750</v>
      </c>
      <c r="X55" s="85">
        <v>52397</v>
      </c>
      <c r="Y55" s="40"/>
      <c r="Z55" s="101"/>
      <c r="AA55" s="40">
        <v>8998100</v>
      </c>
      <c r="AB55" s="40">
        <v>0</v>
      </c>
      <c r="AC55" s="40"/>
      <c r="AD55" s="40">
        <f t="shared" si="3"/>
        <v>8998100</v>
      </c>
      <c r="AF55" s="85">
        <v>52397</v>
      </c>
      <c r="AG55" s="40"/>
      <c r="AH55" s="101"/>
      <c r="AI55" s="40">
        <f t="shared" si="38"/>
        <v>0</v>
      </c>
      <c r="AJ55" s="40">
        <v>0</v>
      </c>
      <c r="AK55" s="40"/>
      <c r="AL55" s="40">
        <f t="shared" si="42"/>
        <v>0</v>
      </c>
      <c r="AN55" s="85">
        <v>52397</v>
      </c>
      <c r="AO55" s="40">
        <v>0</v>
      </c>
      <c r="AP55" s="101"/>
      <c r="AQ55" s="40">
        <f t="shared" si="43"/>
        <v>0</v>
      </c>
      <c r="AR55" s="40">
        <v>0</v>
      </c>
      <c r="AS55" s="40"/>
      <c r="AT55" s="40">
        <f t="shared" si="44"/>
        <v>0</v>
      </c>
      <c r="AV55" s="85">
        <v>52397</v>
      </c>
      <c r="AW55" s="40">
        <v>0</v>
      </c>
      <c r="AX55" s="101"/>
      <c r="AY55" s="40">
        <f t="shared" si="7"/>
        <v>0</v>
      </c>
      <c r="AZ55" s="40">
        <v>0</v>
      </c>
      <c r="BA55" s="40"/>
      <c r="BB55" s="40">
        <f t="shared" si="45"/>
        <v>0</v>
      </c>
      <c r="BD55" s="85">
        <v>52397</v>
      </c>
      <c r="BE55" s="40">
        <v>0</v>
      </c>
      <c r="BF55" s="101"/>
      <c r="BG55" s="40">
        <f t="shared" si="39"/>
        <v>0</v>
      </c>
      <c r="BH55" s="40">
        <v>0</v>
      </c>
      <c r="BI55" s="40"/>
      <c r="BJ55" s="40">
        <f t="shared" si="46"/>
        <v>0</v>
      </c>
      <c r="BL55" s="85">
        <v>52397</v>
      </c>
      <c r="BM55" s="40"/>
      <c r="BN55" s="101"/>
      <c r="BO55" s="40"/>
      <c r="BP55" s="101"/>
      <c r="BQ55" s="40">
        <f t="shared" si="47"/>
        <v>19822750</v>
      </c>
      <c r="BR55" s="40"/>
      <c r="BS55" s="40"/>
      <c r="BT55" s="40">
        <f t="shared" si="48"/>
        <v>19822750</v>
      </c>
      <c r="BV55" s="85">
        <v>52397</v>
      </c>
      <c r="BW55" s="40"/>
      <c r="BX55" s="40"/>
      <c r="BY55" s="40"/>
      <c r="BZ55" s="40"/>
      <c r="CA55" s="40"/>
      <c r="CB55" s="40">
        <f t="shared" si="40"/>
        <v>0</v>
      </c>
      <c r="CD55" s="85">
        <v>52397</v>
      </c>
      <c r="CE55" s="40">
        <v>0</v>
      </c>
      <c r="CG55" s="40">
        <v>4750125</v>
      </c>
      <c r="CH55" s="40">
        <v>0</v>
      </c>
      <c r="CI55" s="40"/>
      <c r="CJ55" s="40">
        <f t="shared" si="49"/>
        <v>4750125</v>
      </c>
      <c r="CL55" s="85">
        <v>52397</v>
      </c>
      <c r="CM55" s="40">
        <v>0</v>
      </c>
      <c r="CN55" s="101"/>
      <c r="CO55" s="40">
        <v>665775</v>
      </c>
      <c r="CP55" s="40">
        <v>0</v>
      </c>
      <c r="CQ55" s="40">
        <f t="shared" si="50"/>
        <v>665775</v>
      </c>
      <c r="CS55" s="85">
        <v>52397</v>
      </c>
      <c r="CT55" s="40">
        <v>0</v>
      </c>
      <c r="CU55" s="40"/>
      <c r="CV55" s="40">
        <v>3425625</v>
      </c>
      <c r="CW55" s="40">
        <v>0</v>
      </c>
      <c r="CX55" s="40">
        <f t="shared" si="51"/>
        <v>3425625</v>
      </c>
      <c r="CZ55" s="85">
        <v>52397</v>
      </c>
      <c r="DA55" s="40">
        <v>0</v>
      </c>
      <c r="DB55" s="40"/>
      <c r="DC55" s="40">
        <v>895375</v>
      </c>
      <c r="DD55" s="40">
        <f t="shared" si="52"/>
        <v>895375</v>
      </c>
      <c r="DF55" s="85">
        <v>52397</v>
      </c>
      <c r="DJ55" s="40">
        <f t="shared" si="53"/>
        <v>0</v>
      </c>
      <c r="DL55" s="85">
        <v>52397</v>
      </c>
      <c r="DM55" s="40">
        <v>0</v>
      </c>
      <c r="DN55" s="87">
        <v>0</v>
      </c>
      <c r="DO55" s="40"/>
      <c r="DP55" s="40">
        <v>0</v>
      </c>
      <c r="DQ55" s="40">
        <f t="shared" si="54"/>
        <v>0</v>
      </c>
      <c r="DS55" s="85">
        <v>52397</v>
      </c>
      <c r="DU55" s="87"/>
      <c r="DY55" s="85">
        <v>52397</v>
      </c>
      <c r="DZ55" s="40">
        <v>36068329.5</v>
      </c>
      <c r="EA55" s="87">
        <v>6.2300000000000001E-2</v>
      </c>
      <c r="EB55" s="40"/>
      <c r="EC55" s="40">
        <v>231401670.5</v>
      </c>
      <c r="ED55" s="40">
        <f t="shared" si="55"/>
        <v>267470000</v>
      </c>
      <c r="EF55" s="85">
        <v>52397</v>
      </c>
      <c r="EG55" s="40"/>
      <c r="EH55" s="87"/>
      <c r="EI55" s="40"/>
      <c r="EJ55" s="40">
        <f t="shared" si="56"/>
        <v>0</v>
      </c>
      <c r="EL55" s="85">
        <v>52397</v>
      </c>
      <c r="EM55" s="40"/>
      <c r="EN55" s="87"/>
      <c r="EO55" s="40"/>
      <c r="EP55" s="40"/>
      <c r="EQ55" s="40">
        <f t="shared" si="57"/>
        <v>0</v>
      </c>
      <c r="ES55" s="85">
        <v>52397</v>
      </c>
      <c r="EU55" s="87"/>
      <c r="EX55" s="40">
        <f t="shared" si="58"/>
        <v>0</v>
      </c>
      <c r="EZ55" s="85">
        <v>52397</v>
      </c>
      <c r="FF55" s="85">
        <v>52397</v>
      </c>
      <c r="FJ55" s="40">
        <f t="shared" si="59"/>
        <v>0</v>
      </c>
      <c r="FL55" s="85">
        <v>52397</v>
      </c>
      <c r="FP55" s="40">
        <f t="shared" si="60"/>
        <v>0</v>
      </c>
      <c r="FR55" s="85">
        <v>52397</v>
      </c>
      <c r="FW55" s="40">
        <f t="shared" si="61"/>
        <v>0</v>
      </c>
      <c r="FY55" s="85">
        <v>52397</v>
      </c>
      <c r="GD55" s="40">
        <f t="shared" si="62"/>
        <v>0</v>
      </c>
      <c r="GF55" s="85">
        <v>52397</v>
      </c>
      <c r="GK55" s="40">
        <f t="shared" si="63"/>
        <v>0</v>
      </c>
      <c r="GM55" s="85">
        <v>52397</v>
      </c>
      <c r="GR55" s="40">
        <f t="shared" si="64"/>
        <v>0</v>
      </c>
    </row>
    <row r="56" spans="1:200" x14ac:dyDescent="0.25">
      <c r="F56" s="85">
        <v>52596</v>
      </c>
      <c r="G56" s="85"/>
      <c r="H56" s="85">
        <v>52580</v>
      </c>
      <c r="I56" s="40"/>
      <c r="O56" s="85">
        <v>52596</v>
      </c>
      <c r="P56" s="85"/>
      <c r="Q56" s="85">
        <v>52580</v>
      </c>
      <c r="R56" s="40">
        <f t="shared" si="33"/>
        <v>36458537.600000001</v>
      </c>
      <c r="S56" s="40">
        <f t="shared" si="34"/>
        <v>38557750</v>
      </c>
      <c r="T56" s="40">
        <f t="shared" si="35"/>
        <v>2351462.3999999999</v>
      </c>
      <c r="U56" s="40">
        <f t="shared" si="32"/>
        <v>0</v>
      </c>
      <c r="V56" s="40">
        <f t="shared" si="41"/>
        <v>77367750</v>
      </c>
      <c r="X56" s="85">
        <v>52580</v>
      </c>
      <c r="Y56" s="40">
        <v>29050000</v>
      </c>
      <c r="Z56" s="101">
        <v>0.04</v>
      </c>
      <c r="AA56" s="40">
        <v>8998100</v>
      </c>
      <c r="AB56" s="40">
        <v>0</v>
      </c>
      <c r="AC56" s="40"/>
      <c r="AD56" s="40">
        <f t="shared" si="3"/>
        <v>38048100</v>
      </c>
      <c r="AF56" s="85">
        <v>52580</v>
      </c>
      <c r="AG56" s="40"/>
      <c r="AH56" s="101"/>
      <c r="AI56" s="40">
        <f t="shared" si="38"/>
        <v>0</v>
      </c>
      <c r="AJ56" s="40">
        <v>0</v>
      </c>
      <c r="AK56" s="40"/>
      <c r="AL56" s="40">
        <f t="shared" si="42"/>
        <v>0</v>
      </c>
      <c r="AN56" s="85">
        <v>52580</v>
      </c>
      <c r="AO56" s="40">
        <v>0</v>
      </c>
      <c r="AP56" s="101"/>
      <c r="AQ56" s="40">
        <f t="shared" si="43"/>
        <v>0</v>
      </c>
      <c r="AR56" s="40">
        <v>0</v>
      </c>
      <c r="AS56" s="40"/>
      <c r="AT56" s="40">
        <f t="shared" si="44"/>
        <v>0</v>
      </c>
      <c r="AV56" s="85">
        <v>52580</v>
      </c>
      <c r="AW56" s="40">
        <v>0</v>
      </c>
      <c r="AX56" s="101"/>
      <c r="AY56" s="40">
        <f t="shared" si="7"/>
        <v>0</v>
      </c>
      <c r="AZ56" s="40">
        <v>0</v>
      </c>
      <c r="BA56" s="40"/>
      <c r="BB56" s="40">
        <f t="shared" si="45"/>
        <v>0</v>
      </c>
      <c r="BD56" s="85">
        <v>52580</v>
      </c>
      <c r="BE56" s="40">
        <v>0</v>
      </c>
      <c r="BF56" s="101"/>
      <c r="BG56" s="40">
        <f t="shared" si="39"/>
        <v>0</v>
      </c>
      <c r="BH56" s="40">
        <v>0</v>
      </c>
      <c r="BI56" s="40"/>
      <c r="BJ56" s="40">
        <f t="shared" si="46"/>
        <v>0</v>
      </c>
      <c r="BL56" s="85">
        <v>52580</v>
      </c>
      <c r="BM56" s="40">
        <v>1675000</v>
      </c>
      <c r="BN56" s="101">
        <v>0.05</v>
      </c>
      <c r="BO56" s="40"/>
      <c r="BP56" s="101"/>
      <c r="BQ56" s="40">
        <f t="shared" si="47"/>
        <v>19822750</v>
      </c>
      <c r="BR56" s="40"/>
      <c r="BS56" s="40"/>
      <c r="BT56" s="40">
        <f t="shared" si="48"/>
        <v>21497750</v>
      </c>
      <c r="BV56" s="85">
        <v>52580</v>
      </c>
      <c r="BW56" s="40"/>
      <c r="BX56" s="40"/>
      <c r="BY56" s="40"/>
      <c r="BZ56" s="40"/>
      <c r="CA56" s="40"/>
      <c r="CB56" s="40">
        <f t="shared" si="40"/>
        <v>0</v>
      </c>
      <c r="CD56" s="85">
        <v>52580</v>
      </c>
      <c r="CE56" s="40">
        <v>0</v>
      </c>
      <c r="CG56" s="40">
        <v>4750125</v>
      </c>
      <c r="CH56" s="40">
        <v>0</v>
      </c>
      <c r="CI56" s="40"/>
      <c r="CJ56" s="40">
        <f t="shared" si="49"/>
        <v>4750125</v>
      </c>
      <c r="CL56" s="85">
        <v>52580</v>
      </c>
      <c r="CM56" s="40">
        <v>2508537.6</v>
      </c>
      <c r="CN56" s="101">
        <v>4.9500000000000002E-2</v>
      </c>
      <c r="CO56" s="40">
        <v>665775</v>
      </c>
      <c r="CP56" s="40">
        <v>2351462.3999999999</v>
      </c>
      <c r="CQ56" s="40">
        <f t="shared" si="50"/>
        <v>5525775</v>
      </c>
      <c r="CS56" s="85">
        <v>52580</v>
      </c>
      <c r="CT56" s="40">
        <v>0</v>
      </c>
      <c r="CU56" s="40"/>
      <c r="CV56" s="40">
        <v>3425625</v>
      </c>
      <c r="CW56" s="40">
        <v>0</v>
      </c>
      <c r="CX56" s="40">
        <f t="shared" si="51"/>
        <v>3425625</v>
      </c>
      <c r="CZ56" s="85">
        <v>52580</v>
      </c>
      <c r="DA56" s="40">
        <v>3225000</v>
      </c>
      <c r="DB56" s="101">
        <v>0.05</v>
      </c>
      <c r="DC56" s="40">
        <v>895375</v>
      </c>
      <c r="DD56" s="40">
        <f t="shared" si="52"/>
        <v>4120375</v>
      </c>
      <c r="DF56" s="85">
        <v>52580</v>
      </c>
      <c r="DJ56" s="40">
        <f t="shared" si="53"/>
        <v>0</v>
      </c>
      <c r="DL56" s="85">
        <v>52580</v>
      </c>
      <c r="DM56" s="40">
        <v>0</v>
      </c>
      <c r="DN56" s="87">
        <v>0</v>
      </c>
      <c r="DO56" s="40"/>
      <c r="DP56" s="40">
        <v>0</v>
      </c>
      <c r="DQ56" s="40">
        <f t="shared" si="54"/>
        <v>0</v>
      </c>
      <c r="DS56" s="85">
        <v>52580</v>
      </c>
      <c r="DU56" s="87"/>
      <c r="DY56" s="85">
        <v>52580</v>
      </c>
      <c r="DZ56" s="40"/>
      <c r="EA56" s="87"/>
      <c r="EB56" s="40"/>
      <c r="EC56" s="40">
        <v>0</v>
      </c>
      <c r="ED56" s="40">
        <f t="shared" si="55"/>
        <v>0</v>
      </c>
      <c r="EF56" s="85">
        <v>52580</v>
      </c>
      <c r="EG56" s="40"/>
      <c r="EH56" s="87"/>
      <c r="EI56" s="40"/>
      <c r="EJ56" s="40">
        <f t="shared" si="56"/>
        <v>0</v>
      </c>
      <c r="EL56" s="85">
        <v>52580</v>
      </c>
      <c r="EM56" s="40"/>
      <c r="EN56" s="87"/>
      <c r="EO56" s="40"/>
      <c r="EP56" s="40"/>
      <c r="EQ56" s="40">
        <f t="shared" si="57"/>
        <v>0</v>
      </c>
      <c r="ES56" s="85">
        <v>52580</v>
      </c>
      <c r="EU56" s="87"/>
      <c r="EX56" s="40">
        <f t="shared" si="58"/>
        <v>0</v>
      </c>
      <c r="EZ56" s="85">
        <v>52580</v>
      </c>
      <c r="FF56" s="85">
        <v>52580</v>
      </c>
      <c r="FJ56" s="40">
        <f t="shared" si="59"/>
        <v>0</v>
      </c>
      <c r="FL56" s="85">
        <v>52580</v>
      </c>
      <c r="FP56" s="40">
        <f t="shared" si="60"/>
        <v>0</v>
      </c>
      <c r="FR56" s="85">
        <v>52580</v>
      </c>
      <c r="FW56" s="40">
        <f t="shared" si="61"/>
        <v>0</v>
      </c>
      <c r="FY56" s="85">
        <v>52580</v>
      </c>
      <c r="GD56" s="40">
        <f t="shared" si="62"/>
        <v>0</v>
      </c>
      <c r="GF56" s="85">
        <v>52580</v>
      </c>
      <c r="GK56" s="40">
        <f t="shared" si="63"/>
        <v>0</v>
      </c>
      <c r="GM56" s="85">
        <v>52580</v>
      </c>
      <c r="GR56" s="40">
        <f t="shared" si="64"/>
        <v>0</v>
      </c>
    </row>
    <row r="57" spans="1:200" x14ac:dyDescent="0.25">
      <c r="F57" s="85">
        <v>52778</v>
      </c>
      <c r="G57" s="85"/>
      <c r="H57" s="85">
        <v>52763</v>
      </c>
      <c r="I57" s="40">
        <f>SUM(Y56,Y57,AG56:AG57,AO56:AO57,AW56:AW57,BE56:BE57,BM56:BM57,BO56:BO57,BW56:BW57,CE56:CE57,CM56:CM57,CT56:CT57,DA56:DA57,DG56:DG57,DM56:DM57,DT56:DT57,DZ56:DZ57,EG56:EG57,EM56:EM57,ET56:ET57,FA56:FA57,FG56:FG57,FM56:FM57,FS56:FS57,FZ56:FZ57,GG56:GG57,GN56:GN57)</f>
        <v>70159757.599999994</v>
      </c>
      <c r="J57" s="40">
        <f>SUM(AA56,AA57,AI56:AI57,AQ56:AQ57,AY56:AY57,BG56:BG57,BQ56:BQ57,BY56:BY57,CG56:CG57,CO56:CO57,CV56:CV57,DC56:DC57,DI56:DI57,DO56:DO57,DV56:DV57,EB56:EB57,EI56:EI57,EO56:EO57,EV56:EV57,FC56:FC57,FI56:FI57,FO56:FO57,FU56:FU57,GB56:GB57,GI56:GI57,GP56:GP57)</f>
        <v>76291715</v>
      </c>
      <c r="K57" s="40">
        <f>SUM(AB56,AB57,BR56:BR57,BZ56:BZ57,CH56:CH57,CP56:CP57,CW56:CW57,DP56:DP57,EC56:EC57,EP56:EP57,EW56:EW57,FV56:FV57,GC56:GC57,GJ56:GJ57,GQ56:GQ57)</f>
        <v>236120242.40000001</v>
      </c>
      <c r="L57" s="40">
        <f>SUM(AC56,AC57,AS56:AS57,BA56:BA57,BI56:BI57,BS56:BS57,CA56:CA57,CI56:CI57)</f>
        <v>0</v>
      </c>
      <c r="M57" s="40">
        <f>SUM(I57:L57)</f>
        <v>382571715</v>
      </c>
      <c r="O57" s="85">
        <v>52778</v>
      </c>
      <c r="P57" s="85"/>
      <c r="Q57" s="85">
        <v>52763</v>
      </c>
      <c r="R57" s="40">
        <f t="shared" si="33"/>
        <v>33701220</v>
      </c>
      <c r="S57" s="40">
        <f t="shared" si="34"/>
        <v>37733965</v>
      </c>
      <c r="T57" s="40">
        <f t="shared" si="35"/>
        <v>233768780</v>
      </c>
      <c r="U57" s="40">
        <f t="shared" si="32"/>
        <v>0</v>
      </c>
      <c r="V57" s="40">
        <f t="shared" si="41"/>
        <v>305203965</v>
      </c>
      <c r="X57" s="85">
        <v>52763</v>
      </c>
      <c r="Y57" s="40"/>
      <c r="Z57" s="101"/>
      <c r="AA57" s="40">
        <v>8417100</v>
      </c>
      <c r="AB57" s="40">
        <v>0</v>
      </c>
      <c r="AC57" s="40"/>
      <c r="AD57" s="40">
        <f t="shared" si="3"/>
        <v>8417100</v>
      </c>
      <c r="AF57" s="85">
        <v>52763</v>
      </c>
      <c r="AG57" s="40"/>
      <c r="AH57" s="101"/>
      <c r="AI57" s="40">
        <f t="shared" si="38"/>
        <v>0</v>
      </c>
      <c r="AJ57" s="40">
        <v>0</v>
      </c>
      <c r="AK57" s="40"/>
      <c r="AL57" s="40">
        <f t="shared" si="42"/>
        <v>0</v>
      </c>
      <c r="AN57" s="85">
        <v>52763</v>
      </c>
      <c r="AO57" s="40">
        <v>0</v>
      </c>
      <c r="AP57" s="101"/>
      <c r="AQ57" s="40">
        <f t="shared" si="43"/>
        <v>0</v>
      </c>
      <c r="AR57" s="40">
        <v>0</v>
      </c>
      <c r="AS57" s="40"/>
      <c r="AT57" s="40">
        <f t="shared" si="44"/>
        <v>0</v>
      </c>
      <c r="AV57" s="85">
        <v>52763</v>
      </c>
      <c r="AW57" s="40">
        <v>0</v>
      </c>
      <c r="AX57" s="101"/>
      <c r="AY57" s="40">
        <f t="shared" si="7"/>
        <v>0</v>
      </c>
      <c r="AZ57" s="40">
        <v>0</v>
      </c>
      <c r="BA57" s="40"/>
      <c r="BB57" s="40">
        <f t="shared" si="45"/>
        <v>0</v>
      </c>
      <c r="BD57" s="85">
        <v>52763</v>
      </c>
      <c r="BE57" s="40">
        <v>0</v>
      </c>
      <c r="BF57" s="101"/>
      <c r="BG57" s="40">
        <f t="shared" si="39"/>
        <v>0</v>
      </c>
      <c r="BH57" s="40">
        <v>0</v>
      </c>
      <c r="BI57" s="40"/>
      <c r="BJ57" s="40">
        <f t="shared" si="46"/>
        <v>0</v>
      </c>
      <c r="BL57" s="85">
        <v>52763</v>
      </c>
      <c r="BM57" s="40"/>
      <c r="BN57" s="101"/>
      <c r="BO57" s="40"/>
      <c r="BP57" s="101"/>
      <c r="BQ57" s="40">
        <f t="shared" si="47"/>
        <v>19780875</v>
      </c>
      <c r="BR57" s="40"/>
      <c r="BS57" s="40"/>
      <c r="BT57" s="40">
        <f t="shared" si="48"/>
        <v>19780875</v>
      </c>
      <c r="BV57" s="85">
        <v>52763</v>
      </c>
      <c r="BW57" s="40"/>
      <c r="BX57" s="40"/>
      <c r="BY57" s="40"/>
      <c r="BZ57" s="40"/>
      <c r="CA57" s="40"/>
      <c r="CB57" s="40">
        <f t="shared" si="40"/>
        <v>0</v>
      </c>
      <c r="CD57" s="85">
        <v>52763</v>
      </c>
      <c r="CE57" s="40">
        <v>0</v>
      </c>
      <c r="CG57" s="40">
        <v>4750125</v>
      </c>
      <c r="CH57" s="40">
        <v>0</v>
      </c>
      <c r="CI57" s="40"/>
      <c r="CJ57" s="40">
        <f t="shared" si="49"/>
        <v>4750125</v>
      </c>
      <c r="CL57" s="85">
        <v>52763</v>
      </c>
      <c r="CM57" s="40">
        <v>0</v>
      </c>
      <c r="CN57" s="101"/>
      <c r="CO57" s="40">
        <v>545490</v>
      </c>
      <c r="CP57" s="40">
        <v>0</v>
      </c>
      <c r="CQ57" s="40">
        <f t="shared" si="50"/>
        <v>545490</v>
      </c>
      <c r="CS57" s="85">
        <v>52763</v>
      </c>
      <c r="CT57" s="40">
        <v>0</v>
      </c>
      <c r="CU57" s="40"/>
      <c r="CV57" s="40">
        <v>3425625</v>
      </c>
      <c r="CW57" s="40">
        <v>0</v>
      </c>
      <c r="CX57" s="40">
        <f t="shared" si="51"/>
        <v>3425625</v>
      </c>
      <c r="CZ57" s="85">
        <v>52763</v>
      </c>
      <c r="DA57" s="40">
        <v>0</v>
      </c>
      <c r="DB57" s="40"/>
      <c r="DC57" s="40">
        <v>814750</v>
      </c>
      <c r="DD57" s="40">
        <f t="shared" si="52"/>
        <v>814750</v>
      </c>
      <c r="DF57" s="85">
        <v>52763</v>
      </c>
      <c r="DJ57" s="40">
        <f t="shared" si="53"/>
        <v>0</v>
      </c>
      <c r="DL57" s="85">
        <v>52763</v>
      </c>
      <c r="DM57" s="40">
        <v>0</v>
      </c>
      <c r="DN57" s="87">
        <v>0</v>
      </c>
      <c r="DO57" s="40"/>
      <c r="DP57" s="40">
        <v>0</v>
      </c>
      <c r="DQ57" s="40">
        <f t="shared" si="54"/>
        <v>0</v>
      </c>
      <c r="DS57" s="85">
        <v>52763</v>
      </c>
      <c r="DU57" s="87"/>
      <c r="DY57" s="85">
        <v>52763</v>
      </c>
      <c r="DZ57" s="40">
        <v>33701220</v>
      </c>
      <c r="EA57" s="87">
        <v>6.25E-2</v>
      </c>
      <c r="EB57" s="40"/>
      <c r="EC57" s="40">
        <v>233768780</v>
      </c>
      <c r="ED57" s="40">
        <f t="shared" si="55"/>
        <v>267470000</v>
      </c>
      <c r="EF57" s="85">
        <v>52763</v>
      </c>
      <c r="EG57" s="40"/>
      <c r="EH57" s="87"/>
      <c r="EI57" s="40"/>
      <c r="EJ57" s="40">
        <f t="shared" si="56"/>
        <v>0</v>
      </c>
      <c r="EL57" s="85">
        <v>52763</v>
      </c>
      <c r="EM57" s="40"/>
      <c r="EN57" s="87"/>
      <c r="EO57" s="40"/>
      <c r="EP57" s="40"/>
      <c r="EQ57" s="40">
        <f t="shared" si="57"/>
        <v>0</v>
      </c>
      <c r="ES57" s="85">
        <v>52763</v>
      </c>
      <c r="EU57" s="87"/>
      <c r="EX57" s="40">
        <f t="shared" si="58"/>
        <v>0</v>
      </c>
      <c r="EZ57" s="85">
        <v>52763</v>
      </c>
      <c r="FF57" s="85">
        <v>52763</v>
      </c>
      <c r="FJ57" s="40">
        <f t="shared" si="59"/>
        <v>0</v>
      </c>
      <c r="FL57" s="85">
        <v>52763</v>
      </c>
      <c r="FP57" s="40">
        <f t="shared" si="60"/>
        <v>0</v>
      </c>
      <c r="FR57" s="85">
        <v>52763</v>
      </c>
      <c r="FW57" s="40">
        <f t="shared" si="61"/>
        <v>0</v>
      </c>
      <c r="FY57" s="85">
        <v>52763</v>
      </c>
      <c r="GD57" s="40">
        <f t="shared" si="62"/>
        <v>0</v>
      </c>
      <c r="GF57" s="85">
        <v>52763</v>
      </c>
      <c r="GK57" s="40">
        <f t="shared" si="63"/>
        <v>0</v>
      </c>
      <c r="GM57" s="85">
        <v>52763</v>
      </c>
      <c r="GR57" s="40">
        <f t="shared" si="64"/>
        <v>0</v>
      </c>
    </row>
    <row r="58" spans="1:200" x14ac:dyDescent="0.25">
      <c r="F58" s="85">
        <v>52962</v>
      </c>
      <c r="G58" s="85"/>
      <c r="H58" s="85">
        <v>52946</v>
      </c>
      <c r="I58" s="40"/>
      <c r="O58" s="85">
        <v>52962</v>
      </c>
      <c r="P58" s="85"/>
      <c r="Q58" s="85">
        <v>52946</v>
      </c>
      <c r="R58" s="40">
        <f t="shared" si="33"/>
        <v>38027577.600000001</v>
      </c>
      <c r="S58" s="40">
        <f t="shared" si="34"/>
        <v>37733965</v>
      </c>
      <c r="T58" s="40">
        <f t="shared" si="35"/>
        <v>2472422.3999999999</v>
      </c>
      <c r="U58" s="40">
        <f t="shared" si="32"/>
        <v>0</v>
      </c>
      <c r="V58" s="40">
        <f t="shared" si="41"/>
        <v>78233965</v>
      </c>
      <c r="X58" s="85">
        <v>52946</v>
      </c>
      <c r="Y58" s="40">
        <v>30235000</v>
      </c>
      <c r="Z58" s="101">
        <v>0.04</v>
      </c>
      <c r="AA58" s="40">
        <v>8417100</v>
      </c>
      <c r="AB58" s="40">
        <v>0</v>
      </c>
      <c r="AC58" s="40"/>
      <c r="AD58" s="40">
        <f t="shared" si="3"/>
        <v>38652100</v>
      </c>
      <c r="AF58" s="85">
        <v>52946</v>
      </c>
      <c r="AG58" s="40"/>
      <c r="AH58" s="101"/>
      <c r="AI58" s="40">
        <f t="shared" si="38"/>
        <v>0</v>
      </c>
      <c r="AJ58" s="40">
        <v>0</v>
      </c>
      <c r="AK58" s="40"/>
      <c r="AL58" s="40">
        <f t="shared" si="42"/>
        <v>0</v>
      </c>
      <c r="AN58" s="85">
        <v>52946</v>
      </c>
      <c r="AO58" s="40">
        <v>0</v>
      </c>
      <c r="AP58" s="101"/>
      <c r="AQ58" s="40">
        <f t="shared" si="43"/>
        <v>0</v>
      </c>
      <c r="AR58" s="40">
        <v>0</v>
      </c>
      <c r="AS58" s="40"/>
      <c r="AT58" s="40">
        <f t="shared" si="44"/>
        <v>0</v>
      </c>
      <c r="AV58" s="85">
        <v>52946</v>
      </c>
      <c r="AW58" s="40">
        <v>0</v>
      </c>
      <c r="AX58" s="101"/>
      <c r="AY58" s="40">
        <f t="shared" si="7"/>
        <v>0</v>
      </c>
      <c r="AZ58" s="40">
        <v>0</v>
      </c>
      <c r="BA58" s="40"/>
      <c r="BB58" s="40">
        <f t="shared" si="45"/>
        <v>0</v>
      </c>
      <c r="BD58" s="85">
        <v>52946</v>
      </c>
      <c r="BE58" s="40">
        <v>0</v>
      </c>
      <c r="BF58" s="101"/>
      <c r="BG58" s="40">
        <f t="shared" si="39"/>
        <v>0</v>
      </c>
      <c r="BH58" s="40">
        <v>0</v>
      </c>
      <c r="BI58" s="40"/>
      <c r="BJ58" s="40">
        <f t="shared" si="46"/>
        <v>0</v>
      </c>
      <c r="BL58" s="85">
        <v>52946</v>
      </c>
      <c r="BM58" s="40">
        <v>1760000</v>
      </c>
      <c r="BN58" s="101">
        <v>0.05</v>
      </c>
      <c r="BO58" s="40"/>
      <c r="BP58" s="101"/>
      <c r="BQ58" s="40">
        <f t="shared" si="47"/>
        <v>19780875</v>
      </c>
      <c r="BR58" s="40"/>
      <c r="BS58" s="40"/>
      <c r="BT58" s="40">
        <f t="shared" si="48"/>
        <v>21540875</v>
      </c>
      <c r="BV58" s="85">
        <v>52946</v>
      </c>
      <c r="BW58" s="40"/>
      <c r="BX58" s="40"/>
      <c r="BY58" s="40"/>
      <c r="BZ58" s="40"/>
      <c r="CA58" s="40"/>
      <c r="CB58" s="40">
        <f t="shared" si="40"/>
        <v>0</v>
      </c>
      <c r="CD58" s="85">
        <v>52946</v>
      </c>
      <c r="CE58" s="40">
        <v>0</v>
      </c>
      <c r="CG58" s="40">
        <v>4750125</v>
      </c>
      <c r="CH58" s="40">
        <v>0</v>
      </c>
      <c r="CI58" s="40"/>
      <c r="CJ58" s="40">
        <f t="shared" si="49"/>
        <v>4750125</v>
      </c>
      <c r="CL58" s="85">
        <v>52946</v>
      </c>
      <c r="CM58" s="40">
        <v>2637577.6</v>
      </c>
      <c r="CN58" s="101">
        <v>4.9500000000000002E-2</v>
      </c>
      <c r="CO58" s="40">
        <v>545490</v>
      </c>
      <c r="CP58" s="40">
        <v>2472422.3999999999</v>
      </c>
      <c r="CQ58" s="40">
        <f t="shared" si="50"/>
        <v>5655490</v>
      </c>
      <c r="CS58" s="85">
        <v>52946</v>
      </c>
      <c r="CT58" s="40">
        <v>0</v>
      </c>
      <c r="CU58" s="40"/>
      <c r="CV58" s="40">
        <v>3425625</v>
      </c>
      <c r="CW58" s="40">
        <v>0</v>
      </c>
      <c r="CX58" s="40">
        <f t="shared" si="51"/>
        <v>3425625</v>
      </c>
      <c r="CZ58" s="85">
        <v>52946</v>
      </c>
      <c r="DA58" s="40">
        <v>3395000</v>
      </c>
      <c r="DB58" s="101">
        <v>0.05</v>
      </c>
      <c r="DC58" s="40">
        <v>814750</v>
      </c>
      <c r="DD58" s="40">
        <f t="shared" si="52"/>
        <v>4209750</v>
      </c>
      <c r="DF58" s="85">
        <v>52946</v>
      </c>
      <c r="DJ58" s="40">
        <f t="shared" si="53"/>
        <v>0</v>
      </c>
      <c r="DL58" s="85">
        <v>52946</v>
      </c>
      <c r="DM58" s="40">
        <v>0</v>
      </c>
      <c r="DN58" s="87">
        <v>0</v>
      </c>
      <c r="DO58" s="40"/>
      <c r="DP58" s="40">
        <v>0</v>
      </c>
      <c r="DQ58" s="40">
        <f t="shared" si="54"/>
        <v>0</v>
      </c>
      <c r="DS58" s="85">
        <v>52946</v>
      </c>
      <c r="DU58" s="87"/>
      <c r="DY58" s="85">
        <v>52946</v>
      </c>
      <c r="DZ58" s="40"/>
      <c r="EA58" s="87"/>
      <c r="EB58" s="40"/>
      <c r="EC58" s="40">
        <v>0</v>
      </c>
      <c r="ED58" s="40">
        <f t="shared" si="55"/>
        <v>0</v>
      </c>
      <c r="EF58" s="85">
        <v>52946</v>
      </c>
      <c r="EG58" s="40"/>
      <c r="EH58" s="87"/>
      <c r="EI58" s="40"/>
      <c r="EJ58" s="40">
        <f t="shared" si="56"/>
        <v>0</v>
      </c>
      <c r="EL58" s="85">
        <v>52946</v>
      </c>
      <c r="EM58" s="40"/>
      <c r="EN58" s="87"/>
      <c r="EO58" s="40"/>
      <c r="EP58" s="40"/>
      <c r="EQ58" s="40">
        <f t="shared" si="57"/>
        <v>0</v>
      </c>
      <c r="ES58" s="85">
        <v>52946</v>
      </c>
      <c r="EU58" s="87"/>
      <c r="EX58" s="40">
        <f t="shared" si="58"/>
        <v>0</v>
      </c>
      <c r="EZ58" s="85">
        <v>52946</v>
      </c>
      <c r="FF58" s="85">
        <v>52946</v>
      </c>
      <c r="FJ58" s="40">
        <f t="shared" si="59"/>
        <v>0</v>
      </c>
      <c r="FL58" s="85">
        <v>52946</v>
      </c>
      <c r="FP58" s="40">
        <f t="shared" si="60"/>
        <v>0</v>
      </c>
      <c r="FR58" s="85">
        <v>52946</v>
      </c>
      <c r="FW58" s="40">
        <f t="shared" si="61"/>
        <v>0</v>
      </c>
      <c r="FY58" s="85">
        <v>52946</v>
      </c>
      <c r="GD58" s="40">
        <f t="shared" si="62"/>
        <v>0</v>
      </c>
      <c r="GF58" s="85">
        <v>52946</v>
      </c>
      <c r="GK58" s="40">
        <f t="shared" si="63"/>
        <v>0</v>
      </c>
      <c r="GM58" s="85">
        <v>52946</v>
      </c>
      <c r="GR58" s="40">
        <f t="shared" si="64"/>
        <v>0</v>
      </c>
    </row>
    <row r="59" spans="1:200" x14ac:dyDescent="0.25">
      <c r="F59" s="85">
        <v>53143</v>
      </c>
      <c r="G59" s="85"/>
      <c r="H59" s="85">
        <v>53128</v>
      </c>
      <c r="I59" s="40">
        <f>SUM(Y58,Y59,AG58:AG59,AO58:AO59,AW58:AW59,BE58:BE59,BM58:BM59,BO58:BO59,BW58:BW59,CE58:CE59,CM58:CM59,CT58:CT59,DA58:DA59,DG58:DG59,DM58:DM59,DT58:DT59,DZ58:DZ59,EG58:EG59,EM58:EM59,ET58:ET59,FA58:FA59,FG58:FG59,FM58:FM59,FS58:FS59,FZ58:FZ59,GG58:GG59,GN58:GN59)</f>
        <v>69716830.799999997</v>
      </c>
      <c r="J59" s="40">
        <f>SUM(AA58,AA59,AI58:AI59,AQ58:AQ59,AY58:AY59,BG58:BG59,BQ58:BQ59,BY58:BY59,CG58:CG59,CO58:CO59,CV58:CV59,DC58:DC59,DI58:DI59,DO58:DO59,DV58:DV59,EB58:EB59,EI58:EI59,EO58:EO59,EV58:EV59,FC58:FC59,FI58:FI59,FO58:FO59,FU58:FU59,GB58:GB59,GI58:GI59,GP58:GP59)</f>
        <v>74607882.5</v>
      </c>
      <c r="K59" s="40">
        <f>SUM(AB58,AB59,BR58:BR59,BZ58:BZ59,CH58:CH59,CP58:CP59,CW58:CW59,DP58:DP59,EC58:EC59,EP58:EP59,EW58:EW59,FV58:FV59,GC58:GC59,GJ58:GJ59,GQ58:GQ59)</f>
        <v>238248169.20000002</v>
      </c>
      <c r="L59" s="40">
        <f>SUM(AC58,AC59,AS58:AS59,BA58:BA59,BI58:BI59,BS58:BS59,CA58:CA59,CI58:CI59)</f>
        <v>0</v>
      </c>
      <c r="M59" s="40">
        <f>SUM(I59:L59)</f>
        <v>382572882.5</v>
      </c>
      <c r="O59" s="85">
        <v>53143</v>
      </c>
      <c r="P59" s="85"/>
      <c r="Q59" s="85">
        <v>53128</v>
      </c>
      <c r="R59" s="40">
        <f t="shared" si="33"/>
        <v>31689253.199999999</v>
      </c>
      <c r="S59" s="40">
        <f t="shared" si="34"/>
        <v>36873917.5</v>
      </c>
      <c r="T59" s="40">
        <f t="shared" si="35"/>
        <v>235775746.80000001</v>
      </c>
      <c r="U59" s="40">
        <f t="shared" si="32"/>
        <v>0</v>
      </c>
      <c r="V59" s="40">
        <f t="shared" si="41"/>
        <v>304338917.5</v>
      </c>
      <c r="X59" s="85">
        <v>53128</v>
      </c>
      <c r="Y59" s="40"/>
      <c r="Z59" s="101"/>
      <c r="AA59" s="40">
        <v>7812400</v>
      </c>
      <c r="AB59" s="40">
        <v>0</v>
      </c>
      <c r="AC59" s="40"/>
      <c r="AD59" s="40">
        <f t="shared" si="3"/>
        <v>7812400</v>
      </c>
      <c r="AF59" s="85">
        <v>53128</v>
      </c>
      <c r="AG59" s="40"/>
      <c r="AH59" s="101"/>
      <c r="AI59" s="40">
        <f t="shared" si="38"/>
        <v>0</v>
      </c>
      <c r="AJ59" s="40">
        <v>0</v>
      </c>
      <c r="AK59" s="40"/>
      <c r="AL59" s="40">
        <f t="shared" si="42"/>
        <v>0</v>
      </c>
      <c r="AN59" s="85">
        <v>53128</v>
      </c>
      <c r="AO59" s="40">
        <v>0</v>
      </c>
      <c r="AP59" s="101"/>
      <c r="AQ59" s="40">
        <f t="shared" si="43"/>
        <v>0</v>
      </c>
      <c r="AR59" s="40">
        <v>0</v>
      </c>
      <c r="AS59" s="40"/>
      <c r="AT59" s="40">
        <f t="shared" si="44"/>
        <v>0</v>
      </c>
      <c r="AV59" s="85">
        <v>53128</v>
      </c>
      <c r="AW59" s="40">
        <v>0</v>
      </c>
      <c r="AX59" s="101"/>
      <c r="AY59" s="40">
        <f t="shared" si="7"/>
        <v>0</v>
      </c>
      <c r="AZ59" s="40">
        <v>0</v>
      </c>
      <c r="BA59" s="40"/>
      <c r="BB59" s="40">
        <f t="shared" si="45"/>
        <v>0</v>
      </c>
      <c r="BD59" s="85">
        <v>53128</v>
      </c>
      <c r="BE59" s="40">
        <v>0</v>
      </c>
      <c r="BF59" s="101"/>
      <c r="BG59" s="40">
        <f t="shared" si="39"/>
        <v>0</v>
      </c>
      <c r="BH59" s="40">
        <v>0</v>
      </c>
      <c r="BI59" s="40"/>
      <c r="BJ59" s="40">
        <f t="shared" si="46"/>
        <v>0</v>
      </c>
      <c r="BL59" s="85">
        <v>53128</v>
      </c>
      <c r="BM59" s="40"/>
      <c r="BN59" s="101"/>
      <c r="BO59" s="40"/>
      <c r="BP59" s="101"/>
      <c r="BQ59" s="40">
        <f t="shared" si="47"/>
        <v>19736875</v>
      </c>
      <c r="BR59" s="40"/>
      <c r="BS59" s="40"/>
      <c r="BT59" s="40">
        <f t="shared" si="48"/>
        <v>19736875</v>
      </c>
      <c r="BV59" s="85">
        <v>53128</v>
      </c>
      <c r="BW59" s="40"/>
      <c r="BX59" s="40"/>
      <c r="BY59" s="40"/>
      <c r="BZ59" s="40"/>
      <c r="CA59" s="40"/>
      <c r="CB59" s="40">
        <f t="shared" si="40"/>
        <v>0</v>
      </c>
      <c r="CD59" s="85">
        <v>53128</v>
      </c>
      <c r="CE59" s="40">
        <v>0</v>
      </c>
      <c r="CG59" s="40">
        <v>4750125</v>
      </c>
      <c r="CH59" s="40">
        <v>0</v>
      </c>
      <c r="CI59" s="40"/>
      <c r="CJ59" s="40">
        <f t="shared" si="49"/>
        <v>4750125</v>
      </c>
      <c r="CL59" s="85">
        <v>53128</v>
      </c>
      <c r="CM59" s="40">
        <v>0</v>
      </c>
      <c r="CN59" s="101"/>
      <c r="CO59" s="40">
        <v>419017.5</v>
      </c>
      <c r="CP59" s="40">
        <v>0</v>
      </c>
      <c r="CQ59" s="40">
        <f t="shared" si="50"/>
        <v>419017.5</v>
      </c>
      <c r="CS59" s="85">
        <v>53128</v>
      </c>
      <c r="CT59" s="40">
        <v>0</v>
      </c>
      <c r="CU59" s="40"/>
      <c r="CV59" s="40">
        <v>3425625</v>
      </c>
      <c r="CW59" s="40">
        <v>0</v>
      </c>
      <c r="CX59" s="40">
        <f t="shared" si="51"/>
        <v>3425625</v>
      </c>
      <c r="CZ59" s="85">
        <v>53128</v>
      </c>
      <c r="DA59" s="40">
        <v>0</v>
      </c>
      <c r="DB59" s="40"/>
      <c r="DC59" s="40">
        <v>729875</v>
      </c>
      <c r="DD59" s="40">
        <f t="shared" si="52"/>
        <v>729875</v>
      </c>
      <c r="DF59" s="85">
        <v>53128</v>
      </c>
      <c r="DJ59" s="40">
        <f t="shared" si="53"/>
        <v>0</v>
      </c>
      <c r="DL59" s="85">
        <v>53128</v>
      </c>
      <c r="DM59" s="40">
        <v>0</v>
      </c>
      <c r="DN59" s="87">
        <v>0</v>
      </c>
      <c r="DO59" s="40"/>
      <c r="DP59" s="40">
        <v>0</v>
      </c>
      <c r="DQ59" s="40">
        <f t="shared" si="54"/>
        <v>0</v>
      </c>
      <c r="DS59" s="85">
        <v>53128</v>
      </c>
      <c r="DU59" s="87"/>
      <c r="DY59" s="85">
        <v>53128</v>
      </c>
      <c r="DZ59" s="40">
        <v>31689253.199999999</v>
      </c>
      <c r="EA59" s="87">
        <v>6.25E-2</v>
      </c>
      <c r="EB59" s="40"/>
      <c r="EC59" s="40">
        <v>235775746.80000001</v>
      </c>
      <c r="ED59" s="40">
        <f t="shared" si="55"/>
        <v>267465000</v>
      </c>
      <c r="EF59" s="85">
        <v>53128</v>
      </c>
      <c r="EG59" s="40"/>
      <c r="EH59" s="87"/>
      <c r="EI59" s="40"/>
      <c r="EJ59" s="40">
        <f t="shared" si="56"/>
        <v>0</v>
      </c>
      <c r="EL59" s="85">
        <v>53128</v>
      </c>
      <c r="EM59" s="40"/>
      <c r="EN59" s="87"/>
      <c r="EO59" s="40"/>
      <c r="EP59" s="40"/>
      <c r="EQ59" s="40">
        <f t="shared" si="57"/>
        <v>0</v>
      </c>
      <c r="ES59" s="85">
        <v>53128</v>
      </c>
      <c r="EU59" s="87"/>
      <c r="EX59" s="40">
        <f t="shared" si="58"/>
        <v>0</v>
      </c>
      <c r="EZ59" s="85">
        <v>53128</v>
      </c>
      <c r="FF59" s="85">
        <v>53128</v>
      </c>
      <c r="FJ59" s="40">
        <f t="shared" si="59"/>
        <v>0</v>
      </c>
      <c r="FL59" s="85">
        <v>53128</v>
      </c>
      <c r="FP59" s="40">
        <f t="shared" si="60"/>
        <v>0</v>
      </c>
      <c r="FR59" s="85">
        <v>53128</v>
      </c>
      <c r="FW59" s="40">
        <f t="shared" si="61"/>
        <v>0</v>
      </c>
      <c r="FY59" s="85">
        <v>53128</v>
      </c>
      <c r="GD59" s="40">
        <f t="shared" si="62"/>
        <v>0</v>
      </c>
      <c r="GF59" s="85">
        <v>53128</v>
      </c>
      <c r="GK59" s="40">
        <f t="shared" si="63"/>
        <v>0</v>
      </c>
      <c r="GM59" s="85">
        <v>53128</v>
      </c>
      <c r="GR59" s="40">
        <f t="shared" si="64"/>
        <v>0</v>
      </c>
    </row>
    <row r="60" spans="1:200" x14ac:dyDescent="0.25">
      <c r="F60" s="85">
        <v>53327</v>
      </c>
      <c r="G60" s="85"/>
      <c r="H60" s="85">
        <v>53311</v>
      </c>
      <c r="I60" s="40"/>
      <c r="O60" s="85">
        <v>53327</v>
      </c>
      <c r="P60" s="85"/>
      <c r="Q60" s="85">
        <v>53311</v>
      </c>
      <c r="R60" s="40">
        <f t="shared" si="33"/>
        <v>39654198.399999999</v>
      </c>
      <c r="S60" s="40">
        <f t="shared" si="34"/>
        <v>36873917.5</v>
      </c>
      <c r="T60" s="40">
        <f t="shared" si="35"/>
        <v>2595801.6</v>
      </c>
      <c r="U60" s="40">
        <f t="shared" si="32"/>
        <v>0</v>
      </c>
      <c r="V60" s="40">
        <f t="shared" si="41"/>
        <v>79123917.5</v>
      </c>
      <c r="X60" s="85">
        <v>53311</v>
      </c>
      <c r="Y60" s="40">
        <v>31470000</v>
      </c>
      <c r="Z60" s="101">
        <v>0.04</v>
      </c>
      <c r="AA60" s="40">
        <v>7812400</v>
      </c>
      <c r="AB60" s="40">
        <v>0</v>
      </c>
      <c r="AC60" s="40"/>
      <c r="AD60" s="40">
        <f t="shared" si="3"/>
        <v>39282400</v>
      </c>
      <c r="AF60" s="85">
        <v>53311</v>
      </c>
      <c r="AG60" s="40"/>
      <c r="AH60" s="101"/>
      <c r="AI60" s="40">
        <f t="shared" si="38"/>
        <v>0</v>
      </c>
      <c r="AJ60" s="40">
        <v>0</v>
      </c>
      <c r="AK60" s="40"/>
      <c r="AL60" s="40">
        <f t="shared" si="42"/>
        <v>0</v>
      </c>
      <c r="AN60" s="85">
        <v>53311</v>
      </c>
      <c r="AO60" s="40">
        <v>0</v>
      </c>
      <c r="AP60" s="101"/>
      <c r="AQ60" s="40">
        <f t="shared" si="43"/>
        <v>0</v>
      </c>
      <c r="AR60" s="40">
        <v>0</v>
      </c>
      <c r="AS60" s="40"/>
      <c r="AT60" s="40">
        <f t="shared" si="44"/>
        <v>0</v>
      </c>
      <c r="AV60" s="85">
        <v>53311</v>
      </c>
      <c r="AW60" s="40">
        <v>0</v>
      </c>
      <c r="AX60" s="101"/>
      <c r="AY60" s="40">
        <f t="shared" si="7"/>
        <v>0</v>
      </c>
      <c r="AZ60" s="40">
        <v>0</v>
      </c>
      <c r="BA60" s="40"/>
      <c r="BB60" s="40">
        <f t="shared" si="45"/>
        <v>0</v>
      </c>
      <c r="BD60" s="85">
        <v>53311</v>
      </c>
      <c r="BE60" s="40">
        <v>0</v>
      </c>
      <c r="BF60" s="101"/>
      <c r="BG60" s="40">
        <f t="shared" si="39"/>
        <v>0</v>
      </c>
      <c r="BH60" s="40">
        <v>0</v>
      </c>
      <c r="BI60" s="40"/>
      <c r="BJ60" s="40">
        <f t="shared" si="46"/>
        <v>0</v>
      </c>
      <c r="BL60" s="85">
        <v>53311</v>
      </c>
      <c r="BM60" s="40">
        <v>1850000</v>
      </c>
      <c r="BN60" s="101">
        <v>0.05</v>
      </c>
      <c r="BO60" s="40"/>
      <c r="BP60" s="101"/>
      <c r="BQ60" s="40">
        <f t="shared" si="47"/>
        <v>19736875</v>
      </c>
      <c r="BR60" s="40"/>
      <c r="BS60" s="40"/>
      <c r="BT60" s="40">
        <f t="shared" si="48"/>
        <v>21586875</v>
      </c>
      <c r="BV60" s="85">
        <v>53311</v>
      </c>
      <c r="BW60" s="40"/>
      <c r="BX60" s="40"/>
      <c r="BY60" s="40"/>
      <c r="BZ60" s="40"/>
      <c r="CA60" s="40"/>
      <c r="CB60" s="40">
        <f t="shared" si="40"/>
        <v>0</v>
      </c>
      <c r="CD60" s="85">
        <v>53311</v>
      </c>
      <c r="CE60" s="40">
        <v>0</v>
      </c>
      <c r="CG60" s="40">
        <v>4750125</v>
      </c>
      <c r="CH60" s="40">
        <v>0</v>
      </c>
      <c r="CI60" s="40"/>
      <c r="CJ60" s="40">
        <f t="shared" si="49"/>
        <v>4750125</v>
      </c>
      <c r="CL60" s="85">
        <v>53311</v>
      </c>
      <c r="CM60" s="40">
        <v>2769198.4</v>
      </c>
      <c r="CN60" s="101">
        <v>4.9500000000000002E-2</v>
      </c>
      <c r="CO60" s="40">
        <v>419017.5</v>
      </c>
      <c r="CP60" s="40">
        <v>2595801.6</v>
      </c>
      <c r="CQ60" s="40">
        <f t="shared" si="50"/>
        <v>5784017.5</v>
      </c>
      <c r="CS60" s="85">
        <v>53311</v>
      </c>
      <c r="CT60" s="40">
        <v>0</v>
      </c>
      <c r="CU60" s="40"/>
      <c r="CV60" s="40">
        <v>3425625</v>
      </c>
      <c r="CW60" s="40">
        <v>0</v>
      </c>
      <c r="CX60" s="40">
        <f t="shared" si="51"/>
        <v>3425625</v>
      </c>
      <c r="CZ60" s="85">
        <v>53311</v>
      </c>
      <c r="DA60" s="40">
        <v>3565000</v>
      </c>
      <c r="DB60" s="101">
        <v>0.05</v>
      </c>
      <c r="DC60" s="40">
        <v>729875</v>
      </c>
      <c r="DD60" s="40">
        <f t="shared" si="52"/>
        <v>4294875</v>
      </c>
      <c r="DF60" s="85">
        <v>53311</v>
      </c>
      <c r="DJ60" s="40">
        <f t="shared" si="53"/>
        <v>0</v>
      </c>
      <c r="DL60" s="85">
        <v>53311</v>
      </c>
      <c r="DM60" s="40">
        <v>0</v>
      </c>
      <c r="DN60" s="87">
        <v>0</v>
      </c>
      <c r="DO60" s="40"/>
      <c r="DP60" s="40">
        <v>0</v>
      </c>
      <c r="DQ60" s="40">
        <f t="shared" si="54"/>
        <v>0</v>
      </c>
      <c r="DS60" s="85">
        <v>53311</v>
      </c>
      <c r="DU60" s="87"/>
      <c r="DY60" s="85">
        <v>53311</v>
      </c>
      <c r="DZ60" s="40"/>
      <c r="EA60" s="87"/>
      <c r="EB60" s="40"/>
      <c r="EC60" s="40">
        <v>0</v>
      </c>
      <c r="ED60" s="40">
        <f t="shared" si="55"/>
        <v>0</v>
      </c>
      <c r="EF60" s="85">
        <v>53311</v>
      </c>
      <c r="EG60" s="40"/>
      <c r="EH60" s="87"/>
      <c r="EI60" s="40"/>
      <c r="EJ60" s="40">
        <f t="shared" si="56"/>
        <v>0</v>
      </c>
      <c r="EL60" s="85">
        <v>53311</v>
      </c>
      <c r="EM60" s="40"/>
      <c r="EN60" s="87"/>
      <c r="EO60" s="40"/>
      <c r="EP60" s="40"/>
      <c r="EQ60" s="40">
        <f t="shared" si="57"/>
        <v>0</v>
      </c>
      <c r="ES60" s="85">
        <v>53311</v>
      </c>
      <c r="EU60" s="87"/>
      <c r="EX60" s="40">
        <f t="shared" si="58"/>
        <v>0</v>
      </c>
      <c r="EZ60" s="85">
        <v>53311</v>
      </c>
      <c r="FF60" s="85">
        <v>53311</v>
      </c>
      <c r="FJ60" s="40">
        <f t="shared" si="59"/>
        <v>0</v>
      </c>
      <c r="FL60" s="85">
        <v>53311</v>
      </c>
      <c r="FP60" s="40">
        <f t="shared" si="60"/>
        <v>0</v>
      </c>
      <c r="FR60" s="85">
        <v>53311</v>
      </c>
      <c r="FW60" s="40">
        <f t="shared" si="61"/>
        <v>0</v>
      </c>
      <c r="FY60" s="85">
        <v>53311</v>
      </c>
      <c r="GD60" s="40">
        <f t="shared" si="62"/>
        <v>0</v>
      </c>
      <c r="GF60" s="85">
        <v>53311</v>
      </c>
      <c r="GK60" s="40">
        <f t="shared" si="63"/>
        <v>0</v>
      </c>
      <c r="GM60" s="85">
        <v>53311</v>
      </c>
      <c r="GR60" s="40">
        <f t="shared" si="64"/>
        <v>0</v>
      </c>
    </row>
    <row r="61" spans="1:200" x14ac:dyDescent="0.25">
      <c r="F61" s="85">
        <v>53508</v>
      </c>
      <c r="G61" s="85"/>
      <c r="H61" s="85">
        <v>53493</v>
      </c>
      <c r="I61" s="40">
        <f>SUM(Y60,Y61,AG60:AG61,AO60:AO61,AW60:AW61,BE60:BE61,BM60:BM61,BO60:BO61,BW60:BW61,CE60:CE61,CM60:CM61,CT60:CT61,DA60:DA61,DG60:DG61,DM60:DM61,DT60:DT61,DZ60:DZ61,EG60:EG61,EM60:EM61,ET60:ET61,FA60:FA61,FG60:FG61,FM60:FM61,FS60:FS61,FZ60:FZ61,GG60:GG61,GN60:GN61)</f>
        <v>69453031.099999994</v>
      </c>
      <c r="J61" s="40">
        <f>SUM(AA60,AA61,AI60:AI61,AQ60:AQ61,AY60:AY61,BG60:BG61,BQ60:BQ61,BY60:BY61,CG60:CG61,CO60:CO61,CV60:CV61,DC60:DC61,DI60:DI61,DO60:DO61,DV60:DV61,EB60:EB61,EI60:EI61,EO60:EO61,EV60:EV61,FC60:FC61,FI60:FI61,FO60:FO61,FU60:FU61,GB60:GB61,GI60:GI61,GP60:GP61)</f>
        <v>72850276.25</v>
      </c>
      <c r="K61" s="40">
        <f>SUM(AB60,AB61,BR60:BR61,BZ60:BZ61,CH60:CH61,CP60:CP61,CW60:CW61,DP60:DP61,EC60:EC61,EP60:EP61,EW60:EW61,FV60:FV61,GC60:GC61,GJ60:GJ61,GQ60:GQ61)</f>
        <v>240266968.90000001</v>
      </c>
      <c r="L61" s="40">
        <f>SUM(AC60,AC61,AS60:AS61,BA60:BA61,BI60:BI61,BS60:BS61,CA60:CA61,CI60:CI61)</f>
        <v>0</v>
      </c>
      <c r="M61" s="40">
        <f>SUM(I61:L61)</f>
        <v>382570276.25</v>
      </c>
      <c r="O61" s="85">
        <v>53508</v>
      </c>
      <c r="P61" s="85"/>
      <c r="Q61" s="85">
        <v>53493</v>
      </c>
      <c r="R61" s="40">
        <f t="shared" si="33"/>
        <v>29798832.699999999</v>
      </c>
      <c r="S61" s="40">
        <f t="shared" si="34"/>
        <v>35976358.75</v>
      </c>
      <c r="T61" s="40">
        <f t="shared" si="35"/>
        <v>237671167.30000001</v>
      </c>
      <c r="U61" s="40">
        <f t="shared" si="32"/>
        <v>0</v>
      </c>
      <c r="V61" s="40">
        <f t="shared" si="41"/>
        <v>303446358.75</v>
      </c>
      <c r="X61" s="85">
        <v>53493</v>
      </c>
      <c r="Y61" s="40"/>
      <c r="Z61" s="101"/>
      <c r="AA61" s="40">
        <v>7183000</v>
      </c>
      <c r="AB61" s="40">
        <v>0</v>
      </c>
      <c r="AC61" s="40"/>
      <c r="AD61" s="40">
        <f t="shared" si="3"/>
        <v>7183000</v>
      </c>
      <c r="AF61" s="85">
        <v>53493</v>
      </c>
      <c r="AG61" s="40"/>
      <c r="AH61" s="101"/>
      <c r="AI61" s="40">
        <f t="shared" si="38"/>
        <v>0</v>
      </c>
      <c r="AJ61" s="40">
        <v>0</v>
      </c>
      <c r="AK61" s="40"/>
      <c r="AL61" s="40">
        <f t="shared" si="42"/>
        <v>0</v>
      </c>
      <c r="AN61" s="85">
        <v>53493</v>
      </c>
      <c r="AO61" s="40">
        <v>0</v>
      </c>
      <c r="AP61" s="101"/>
      <c r="AQ61" s="40">
        <f t="shared" si="43"/>
        <v>0</v>
      </c>
      <c r="AR61" s="40">
        <v>0</v>
      </c>
      <c r="AS61" s="40"/>
      <c r="AT61" s="40">
        <f t="shared" si="44"/>
        <v>0</v>
      </c>
      <c r="AV61" s="85">
        <v>53493</v>
      </c>
      <c r="AW61" s="40">
        <v>0</v>
      </c>
      <c r="AX61" s="101"/>
      <c r="AY61" s="40">
        <f t="shared" si="7"/>
        <v>0</v>
      </c>
      <c r="AZ61" s="40">
        <v>0</v>
      </c>
      <c r="BA61" s="40"/>
      <c r="BB61" s="40">
        <f t="shared" si="45"/>
        <v>0</v>
      </c>
      <c r="BD61" s="85">
        <v>53493</v>
      </c>
      <c r="BE61" s="40">
        <v>0</v>
      </c>
      <c r="BF61" s="101"/>
      <c r="BG61" s="40">
        <f t="shared" si="39"/>
        <v>0</v>
      </c>
      <c r="BH61" s="40">
        <v>0</v>
      </c>
      <c r="BI61" s="40"/>
      <c r="BJ61" s="40">
        <f t="shared" si="46"/>
        <v>0</v>
      </c>
      <c r="BL61" s="85">
        <v>53493</v>
      </c>
      <c r="BM61" s="40"/>
      <c r="BN61" s="101"/>
      <c r="BO61" s="40"/>
      <c r="BP61" s="101"/>
      <c r="BQ61" s="40">
        <f t="shared" si="47"/>
        <v>19690625</v>
      </c>
      <c r="BR61" s="40"/>
      <c r="BS61" s="40"/>
      <c r="BT61" s="40">
        <f t="shared" si="48"/>
        <v>19690625</v>
      </c>
      <c r="BV61" s="85">
        <v>53493</v>
      </c>
      <c r="BW61" s="40"/>
      <c r="BX61" s="40"/>
      <c r="BY61" s="40"/>
      <c r="BZ61" s="40"/>
      <c r="CA61" s="40"/>
      <c r="CB61" s="40">
        <f t="shared" si="40"/>
        <v>0</v>
      </c>
      <c r="CD61" s="85">
        <v>53493</v>
      </c>
      <c r="CE61" s="40">
        <v>0</v>
      </c>
      <c r="CG61" s="40">
        <v>4750125</v>
      </c>
      <c r="CH61" s="40">
        <v>0</v>
      </c>
      <c r="CI61" s="40"/>
      <c r="CJ61" s="40">
        <f t="shared" si="49"/>
        <v>4750125</v>
      </c>
      <c r="CL61" s="85">
        <v>53493</v>
      </c>
      <c r="CM61" s="40">
        <v>0</v>
      </c>
      <c r="CN61" s="101"/>
      <c r="CO61" s="40">
        <v>286233.75</v>
      </c>
      <c r="CP61" s="40">
        <v>0</v>
      </c>
      <c r="CQ61" s="40">
        <f t="shared" si="50"/>
        <v>286233.75</v>
      </c>
      <c r="CS61" s="85">
        <v>53493</v>
      </c>
      <c r="CT61" s="40">
        <v>0</v>
      </c>
      <c r="CU61" s="40"/>
      <c r="CV61" s="40">
        <v>3425625</v>
      </c>
      <c r="CW61" s="40">
        <v>0</v>
      </c>
      <c r="CX61" s="40">
        <f t="shared" si="51"/>
        <v>3425625</v>
      </c>
      <c r="CZ61" s="85">
        <v>53493</v>
      </c>
      <c r="DA61" s="40">
        <v>0</v>
      </c>
      <c r="DB61" s="40"/>
      <c r="DC61" s="40">
        <v>640750</v>
      </c>
      <c r="DD61" s="40">
        <f t="shared" si="52"/>
        <v>640750</v>
      </c>
      <c r="DF61" s="85">
        <v>53493</v>
      </c>
      <c r="DJ61" s="40">
        <f t="shared" si="53"/>
        <v>0</v>
      </c>
      <c r="DL61" s="85">
        <v>53493</v>
      </c>
      <c r="DM61" s="40">
        <v>0</v>
      </c>
      <c r="DN61" s="87">
        <v>0</v>
      </c>
      <c r="DO61" s="40"/>
      <c r="DP61" s="40">
        <v>0</v>
      </c>
      <c r="DQ61" s="40">
        <f t="shared" si="54"/>
        <v>0</v>
      </c>
      <c r="DS61" s="85">
        <v>53493</v>
      </c>
      <c r="DU61" s="87"/>
      <c r="DY61" s="85">
        <v>53493</v>
      </c>
      <c r="DZ61" s="40">
        <v>29798832.699999999</v>
      </c>
      <c r="EA61" s="122">
        <v>6.25E-2</v>
      </c>
      <c r="EB61" s="40"/>
      <c r="EC61" s="40">
        <v>237671167.30000001</v>
      </c>
      <c r="ED61" s="40">
        <f t="shared" si="55"/>
        <v>267470000</v>
      </c>
      <c r="EF61" s="85">
        <v>53493</v>
      </c>
      <c r="EG61" s="40"/>
      <c r="EH61" s="87"/>
      <c r="EI61" s="40"/>
      <c r="EJ61" s="40">
        <f t="shared" si="56"/>
        <v>0</v>
      </c>
      <c r="EL61" s="85">
        <v>53493</v>
      </c>
      <c r="EM61" s="40"/>
      <c r="EN61" s="87"/>
      <c r="EO61" s="40"/>
      <c r="EP61" s="40"/>
      <c r="EQ61" s="40">
        <f t="shared" si="57"/>
        <v>0</v>
      </c>
      <c r="ES61" s="85">
        <v>53493</v>
      </c>
      <c r="EU61" s="87"/>
      <c r="EX61" s="40">
        <f t="shared" si="58"/>
        <v>0</v>
      </c>
      <c r="EZ61" s="85">
        <v>53493</v>
      </c>
      <c r="FF61" s="85">
        <v>53493</v>
      </c>
      <c r="FJ61" s="40">
        <f t="shared" si="59"/>
        <v>0</v>
      </c>
      <c r="FL61" s="85">
        <v>53493</v>
      </c>
      <c r="FP61" s="40">
        <f t="shared" si="60"/>
        <v>0</v>
      </c>
      <c r="FR61" s="85">
        <v>53493</v>
      </c>
      <c r="FW61" s="40">
        <f t="shared" si="61"/>
        <v>0</v>
      </c>
      <c r="FY61" s="85">
        <v>53493</v>
      </c>
      <c r="GD61" s="40">
        <f t="shared" si="62"/>
        <v>0</v>
      </c>
      <c r="GF61" s="85">
        <v>53493</v>
      </c>
      <c r="GK61" s="40">
        <f t="shared" si="63"/>
        <v>0</v>
      </c>
      <c r="GM61" s="85">
        <v>53493</v>
      </c>
      <c r="GR61" s="40">
        <f t="shared" si="64"/>
        <v>0</v>
      </c>
    </row>
    <row r="62" spans="1:200" x14ac:dyDescent="0.25">
      <c r="F62" s="85">
        <v>53692</v>
      </c>
      <c r="G62" s="85"/>
      <c r="H62" s="85">
        <v>53676</v>
      </c>
      <c r="I62" s="40"/>
      <c r="O62" s="85">
        <v>53692</v>
      </c>
      <c r="P62" s="85"/>
      <c r="Q62" s="85">
        <v>53676</v>
      </c>
      <c r="R62" s="40">
        <f t="shared" si="33"/>
        <v>96611142.400000006</v>
      </c>
      <c r="S62" s="40">
        <f t="shared" si="34"/>
        <v>35976358.75</v>
      </c>
      <c r="T62" s="40">
        <f t="shared" si="35"/>
        <v>2728857.6000000001</v>
      </c>
      <c r="U62" s="40">
        <f t="shared" si="32"/>
        <v>0</v>
      </c>
      <c r="V62" s="40">
        <f t="shared" si="41"/>
        <v>135316358.75</v>
      </c>
      <c r="X62" s="85">
        <v>53676</v>
      </c>
      <c r="Y62" s="40">
        <v>32755000</v>
      </c>
      <c r="Z62" s="101">
        <v>0.04</v>
      </c>
      <c r="AA62" s="40">
        <v>7183000</v>
      </c>
      <c r="AB62" s="40">
        <v>0</v>
      </c>
      <c r="AC62" s="40"/>
      <c r="AD62" s="40">
        <f t="shared" si="3"/>
        <v>39938000</v>
      </c>
      <c r="AF62" s="85">
        <v>53676</v>
      </c>
      <c r="AG62" s="40"/>
      <c r="AH62" s="101"/>
      <c r="AI62" s="40">
        <f t="shared" si="38"/>
        <v>0</v>
      </c>
      <c r="AJ62" s="40">
        <v>0</v>
      </c>
      <c r="AK62" s="40"/>
      <c r="AL62" s="40">
        <f t="shared" si="42"/>
        <v>0</v>
      </c>
      <c r="AN62" s="85">
        <v>53676</v>
      </c>
      <c r="AO62" s="40">
        <v>0</v>
      </c>
      <c r="AP62" s="101"/>
      <c r="AQ62" s="40">
        <f t="shared" si="43"/>
        <v>0</v>
      </c>
      <c r="AR62" s="40">
        <v>0</v>
      </c>
      <c r="AS62" s="40"/>
      <c r="AT62" s="40">
        <f t="shared" si="44"/>
        <v>0</v>
      </c>
      <c r="AV62" s="85">
        <v>53676</v>
      </c>
      <c r="AW62" s="40">
        <v>0</v>
      </c>
      <c r="AX62" s="101"/>
      <c r="AY62" s="40">
        <f t="shared" si="7"/>
        <v>0</v>
      </c>
      <c r="AZ62" s="40">
        <v>0</v>
      </c>
      <c r="BA62" s="40"/>
      <c r="BB62" s="40">
        <f t="shared" si="45"/>
        <v>0</v>
      </c>
      <c r="BD62" s="85">
        <v>53676</v>
      </c>
      <c r="BE62" s="40">
        <v>0</v>
      </c>
      <c r="BF62" s="101"/>
      <c r="BG62" s="40">
        <f t="shared" si="39"/>
        <v>0</v>
      </c>
      <c r="BH62" s="40">
        <v>0</v>
      </c>
      <c r="BI62" s="40"/>
      <c r="BJ62" s="40">
        <f t="shared" si="46"/>
        <v>0</v>
      </c>
      <c r="BL62" s="85">
        <v>53676</v>
      </c>
      <c r="BM62" s="40">
        <v>57195000</v>
      </c>
      <c r="BN62" s="101">
        <v>0.05</v>
      </c>
      <c r="BO62" s="40"/>
      <c r="BP62" s="101"/>
      <c r="BQ62" s="40">
        <f t="shared" si="47"/>
        <v>19690625</v>
      </c>
      <c r="BR62" s="40"/>
      <c r="BS62" s="40"/>
      <c r="BT62" s="40">
        <f t="shared" si="48"/>
        <v>76885625</v>
      </c>
      <c r="BV62" s="85">
        <v>53676</v>
      </c>
      <c r="BW62" s="40"/>
      <c r="BX62" s="40"/>
      <c r="BY62" s="40"/>
      <c r="BZ62" s="40"/>
      <c r="CA62" s="40"/>
      <c r="CB62" s="40">
        <f t="shared" si="40"/>
        <v>0</v>
      </c>
      <c r="CD62" s="85">
        <v>53676</v>
      </c>
      <c r="CE62" s="40">
        <v>0</v>
      </c>
      <c r="CG62" s="40">
        <v>4750125</v>
      </c>
      <c r="CH62" s="40">
        <v>0</v>
      </c>
      <c r="CI62" s="40"/>
      <c r="CJ62" s="40">
        <f t="shared" si="49"/>
        <v>4750125</v>
      </c>
      <c r="CL62" s="85">
        <v>53676</v>
      </c>
      <c r="CM62" s="40">
        <v>2911142.4</v>
      </c>
      <c r="CN62" s="101">
        <v>4.9500000000000002E-2</v>
      </c>
      <c r="CO62" s="40">
        <v>286233.75</v>
      </c>
      <c r="CP62" s="40">
        <v>2728857.6000000001</v>
      </c>
      <c r="CQ62" s="40">
        <f t="shared" si="50"/>
        <v>5926233.75</v>
      </c>
      <c r="CS62" s="85">
        <v>53676</v>
      </c>
      <c r="CT62" s="40">
        <v>0</v>
      </c>
      <c r="CU62" s="40"/>
      <c r="CV62" s="40">
        <v>3425625</v>
      </c>
      <c r="CW62" s="40">
        <v>0</v>
      </c>
      <c r="CX62" s="40">
        <f t="shared" si="51"/>
        <v>3425625</v>
      </c>
      <c r="CZ62" s="85">
        <v>53676</v>
      </c>
      <c r="DA62" s="40">
        <v>3750000</v>
      </c>
      <c r="DB62" s="101">
        <v>0.05</v>
      </c>
      <c r="DC62" s="40">
        <v>640750</v>
      </c>
      <c r="DD62" s="40">
        <f t="shared" si="52"/>
        <v>4390750</v>
      </c>
      <c r="DF62" s="85">
        <v>53676</v>
      </c>
      <c r="DJ62" s="40">
        <f t="shared" si="53"/>
        <v>0</v>
      </c>
      <c r="DL62" s="85">
        <v>53676</v>
      </c>
      <c r="DM62" s="40">
        <v>0</v>
      </c>
      <c r="DN62" s="87">
        <v>0</v>
      </c>
      <c r="DO62" s="40"/>
      <c r="DP62" s="40">
        <v>0</v>
      </c>
      <c r="DQ62" s="40">
        <f t="shared" si="54"/>
        <v>0</v>
      </c>
      <c r="DS62" s="85">
        <v>53676</v>
      </c>
      <c r="DU62" s="87"/>
      <c r="DY62" s="85">
        <v>53676</v>
      </c>
      <c r="DZ62" s="40"/>
      <c r="EA62" s="122"/>
      <c r="EB62" s="40"/>
      <c r="EC62" s="40">
        <v>0</v>
      </c>
      <c r="ED62" s="40">
        <f t="shared" si="55"/>
        <v>0</v>
      </c>
      <c r="EF62" s="85">
        <v>53676</v>
      </c>
      <c r="EG62" s="40"/>
      <c r="EH62" s="87"/>
      <c r="EI62" s="40"/>
      <c r="EJ62" s="40">
        <f t="shared" si="56"/>
        <v>0</v>
      </c>
      <c r="EL62" s="85">
        <v>53676</v>
      </c>
      <c r="EM62" s="40"/>
      <c r="EN62" s="87"/>
      <c r="EO62" s="40"/>
      <c r="EP62" s="40"/>
      <c r="EQ62" s="40">
        <f t="shared" si="57"/>
        <v>0</v>
      </c>
      <c r="ES62" s="85">
        <v>53676</v>
      </c>
      <c r="ET62" s="40"/>
      <c r="EU62" s="87"/>
      <c r="EV62" s="40"/>
      <c r="EW62" s="40"/>
      <c r="EX62" s="40">
        <f t="shared" si="58"/>
        <v>0</v>
      </c>
      <c r="EZ62" s="85">
        <v>53676</v>
      </c>
      <c r="FF62" s="85">
        <v>53676</v>
      </c>
      <c r="FJ62" s="40">
        <f t="shared" si="59"/>
        <v>0</v>
      </c>
      <c r="FL62" s="85">
        <v>53676</v>
      </c>
      <c r="FP62" s="40">
        <f t="shared" si="60"/>
        <v>0</v>
      </c>
      <c r="FR62" s="85">
        <v>53676</v>
      </c>
      <c r="FW62" s="40">
        <f t="shared" si="61"/>
        <v>0</v>
      </c>
      <c r="FY62" s="85">
        <v>53676</v>
      </c>
      <c r="GD62" s="40">
        <f t="shared" si="62"/>
        <v>0</v>
      </c>
      <c r="GF62" s="85">
        <v>53676</v>
      </c>
      <c r="GK62" s="40">
        <f t="shared" si="63"/>
        <v>0</v>
      </c>
      <c r="GM62" s="85">
        <v>53676</v>
      </c>
      <c r="GR62" s="40">
        <f t="shared" si="64"/>
        <v>0</v>
      </c>
    </row>
    <row r="63" spans="1:200" x14ac:dyDescent="0.25">
      <c r="F63" s="85">
        <v>53873</v>
      </c>
      <c r="G63" s="85"/>
      <c r="H63" s="85">
        <v>53858</v>
      </c>
      <c r="I63" s="40">
        <f>SUM(Y62,Y63,AG62:AG63,AO62:AO63,AW62:AW63,BE62:BE63,BM62:BM63,BO62:BO63,BW62:BW63,CE62:CE63,CM62:CM63,CT62:CT63,DA62:DA63,DG62:DG63,DM62:DM63,DT62:DT63,DZ62:DZ63,EG62:EG63,EM62:EM63,ET62:ET63,FA62:FA63,FG62:FG63,FM62:FM63,FS62:FS63,FZ62:FZ63,GG62:GG63,GN62:GN63)</f>
        <v>118987354.60000001</v>
      </c>
      <c r="J63" s="40">
        <f>SUM(AA62,AA63,AI62:AI63,AQ62:AQ63,AY62:AY63,BG62:BG63,BQ62:BQ63,BY62:BY63,CG62:CG63,CO62:CO63,CV62:CV63,DC62:DC63,DI62:DI63,DO62:DO63,DV62:DV63,EB62:EB63,EI62:EI63,EO62:EO63,EV62:EV63,FC62:FC63,FI62:FI63,FO62:FO63,FU62:FU63,GB62:GB63,GI62:GI63,GP62:GP63)</f>
        <v>69634402.5</v>
      </c>
      <c r="K63" s="40">
        <f>SUM(AB62,AB63,BR62:BR63,BZ62:BZ63,CH62:CH63,CP62:CP63,CW62:CW63,DP62:DP63,EC62:EC63,EP62:EP63,EW62:EW63,FV62:FV63,GC62:GC63,GJ62:GJ63,GQ62:GQ63)</f>
        <v>193947645.40000001</v>
      </c>
      <c r="L63" s="40">
        <f>SUM(AC62,AC63,AS62:AS63,BA62:BA63,BI62:BI63,BS62:BS63,CA62:CA63,CI62:CI63)</f>
        <v>0</v>
      </c>
      <c r="M63" s="40">
        <f>SUM(I63:L63)</f>
        <v>382569402.5</v>
      </c>
      <c r="O63" s="85">
        <v>53873</v>
      </c>
      <c r="P63" s="85"/>
      <c r="Q63" s="85">
        <v>53858</v>
      </c>
      <c r="R63" s="40">
        <f t="shared" si="33"/>
        <v>22376212.199999999</v>
      </c>
      <c r="S63" s="40">
        <f t="shared" si="34"/>
        <v>33658043.75</v>
      </c>
      <c r="T63" s="40">
        <f t="shared" si="35"/>
        <v>191218787.80000001</v>
      </c>
      <c r="U63" s="40">
        <f t="shared" si="32"/>
        <v>0</v>
      </c>
      <c r="V63" s="40">
        <f t="shared" si="41"/>
        <v>247253043.75</v>
      </c>
      <c r="X63" s="85">
        <v>53858</v>
      </c>
      <c r="Y63" s="40"/>
      <c r="Z63" s="101"/>
      <c r="AA63" s="40">
        <v>6527900</v>
      </c>
      <c r="AB63" s="40">
        <v>0</v>
      </c>
      <c r="AC63" s="40"/>
      <c r="AD63" s="40">
        <f t="shared" si="3"/>
        <v>6527900</v>
      </c>
      <c r="AF63" s="85">
        <v>53858</v>
      </c>
      <c r="AG63" s="40"/>
      <c r="AH63" s="101"/>
      <c r="AI63" s="40">
        <f t="shared" si="38"/>
        <v>0</v>
      </c>
      <c r="AJ63" s="40">
        <v>0</v>
      </c>
      <c r="AK63" s="40"/>
      <c r="AL63" s="40">
        <f t="shared" si="42"/>
        <v>0</v>
      </c>
      <c r="AN63" s="85">
        <v>53858</v>
      </c>
      <c r="AO63" s="40">
        <v>0</v>
      </c>
      <c r="AP63" s="101"/>
      <c r="AQ63" s="40">
        <f t="shared" si="43"/>
        <v>0</v>
      </c>
      <c r="AR63" s="40">
        <v>0</v>
      </c>
      <c r="AS63" s="40"/>
      <c r="AT63" s="40">
        <f t="shared" si="44"/>
        <v>0</v>
      </c>
      <c r="AV63" s="85">
        <v>53858</v>
      </c>
      <c r="AW63" s="40">
        <v>0</v>
      </c>
      <c r="AX63" s="101"/>
      <c r="AY63" s="40">
        <f t="shared" si="7"/>
        <v>0</v>
      </c>
      <c r="AZ63" s="40">
        <v>0</v>
      </c>
      <c r="BA63" s="40"/>
      <c r="BB63" s="40">
        <f t="shared" si="45"/>
        <v>0</v>
      </c>
      <c r="BD63" s="85">
        <v>53858</v>
      </c>
      <c r="BE63" s="40">
        <v>0</v>
      </c>
      <c r="BF63" s="101"/>
      <c r="BG63" s="40">
        <f t="shared" si="39"/>
        <v>0</v>
      </c>
      <c r="BH63" s="40">
        <v>0</v>
      </c>
      <c r="BI63" s="40"/>
      <c r="BJ63" s="40">
        <f t="shared" si="46"/>
        <v>0</v>
      </c>
      <c r="BL63" s="85">
        <v>53858</v>
      </c>
      <c r="BM63" s="40"/>
      <c r="BN63" s="101"/>
      <c r="BO63" s="40"/>
      <c r="BP63" s="101"/>
      <c r="BQ63" s="40">
        <f t="shared" si="47"/>
        <v>18260750</v>
      </c>
      <c r="BR63" s="40"/>
      <c r="BS63" s="40"/>
      <c r="BT63" s="40">
        <f t="shared" si="48"/>
        <v>18260750</v>
      </c>
      <c r="BV63" s="85">
        <v>53858</v>
      </c>
      <c r="BW63" s="40"/>
      <c r="BX63" s="40"/>
      <c r="BY63" s="40"/>
      <c r="BZ63" s="40"/>
      <c r="CA63" s="40"/>
      <c r="CB63" s="40">
        <f t="shared" si="40"/>
        <v>0</v>
      </c>
      <c r="CD63" s="85">
        <v>53858</v>
      </c>
      <c r="CE63" s="40">
        <v>0</v>
      </c>
      <c r="CG63" s="40">
        <v>4750125</v>
      </c>
      <c r="CH63" s="40">
        <v>0</v>
      </c>
      <c r="CI63" s="40"/>
      <c r="CJ63" s="40">
        <f t="shared" si="49"/>
        <v>4750125</v>
      </c>
      <c r="CL63" s="85">
        <v>53858</v>
      </c>
      <c r="CM63" s="40">
        <v>0</v>
      </c>
      <c r="CN63" s="101"/>
      <c r="CO63" s="40">
        <v>146643.75</v>
      </c>
      <c r="CP63" s="40">
        <v>0</v>
      </c>
      <c r="CQ63" s="40">
        <f t="shared" si="50"/>
        <v>146643.75</v>
      </c>
      <c r="CS63" s="85">
        <v>53858</v>
      </c>
      <c r="CT63" s="40">
        <v>0</v>
      </c>
      <c r="CU63" s="40"/>
      <c r="CV63" s="40">
        <v>3425625</v>
      </c>
      <c r="CW63" s="40">
        <v>0</v>
      </c>
      <c r="CX63" s="40">
        <f t="shared" si="51"/>
        <v>3425625</v>
      </c>
      <c r="CZ63" s="85">
        <v>53858</v>
      </c>
      <c r="DA63" s="40">
        <v>0</v>
      </c>
      <c r="DB63" s="40"/>
      <c r="DC63" s="40">
        <v>547000</v>
      </c>
      <c r="DD63" s="40">
        <f t="shared" si="52"/>
        <v>547000</v>
      </c>
      <c r="DF63" s="85">
        <v>53858</v>
      </c>
      <c r="DJ63" s="40">
        <f t="shared" si="53"/>
        <v>0</v>
      </c>
      <c r="DL63" s="85">
        <v>53858</v>
      </c>
      <c r="DM63" s="40">
        <v>0</v>
      </c>
      <c r="DN63" s="87">
        <v>0</v>
      </c>
      <c r="DO63" s="40"/>
      <c r="DP63" s="40">
        <v>0</v>
      </c>
      <c r="DQ63" s="40">
        <f t="shared" si="54"/>
        <v>0</v>
      </c>
      <c r="DS63" s="85">
        <v>53858</v>
      </c>
      <c r="DU63" s="87"/>
      <c r="DY63" s="85">
        <v>53858</v>
      </c>
      <c r="DZ63" s="40">
        <v>22376212.199999999</v>
      </c>
      <c r="EA63" s="122">
        <v>6.25E-2</v>
      </c>
      <c r="EB63" s="40"/>
      <c r="EC63" s="40">
        <v>191218787.80000001</v>
      </c>
      <c r="ED63" s="40">
        <f t="shared" si="55"/>
        <v>213595000</v>
      </c>
      <c r="EF63" s="85">
        <v>53858</v>
      </c>
      <c r="EG63" s="40"/>
      <c r="EH63" s="87"/>
      <c r="EI63" s="40"/>
      <c r="EJ63" s="40">
        <f t="shared" si="56"/>
        <v>0</v>
      </c>
      <c r="EL63" s="85">
        <v>53858</v>
      </c>
      <c r="EM63" s="40"/>
      <c r="EN63" s="87"/>
      <c r="EO63" s="40"/>
      <c r="EP63" s="40"/>
      <c r="EQ63" s="40">
        <f t="shared" si="57"/>
        <v>0</v>
      </c>
      <c r="ES63" s="85">
        <v>53858</v>
      </c>
      <c r="ET63" s="40"/>
      <c r="EU63" s="87"/>
      <c r="EV63" s="40"/>
      <c r="EW63" s="40"/>
      <c r="EX63" s="40">
        <f t="shared" si="58"/>
        <v>0</v>
      </c>
      <c r="EZ63" s="85">
        <v>53858</v>
      </c>
      <c r="FF63" s="85">
        <v>53858</v>
      </c>
      <c r="FJ63" s="40">
        <f t="shared" si="59"/>
        <v>0</v>
      </c>
      <c r="FL63" s="85">
        <v>53858</v>
      </c>
      <c r="FP63" s="40">
        <f t="shared" si="60"/>
        <v>0</v>
      </c>
      <c r="FR63" s="85">
        <v>53858</v>
      </c>
      <c r="FW63" s="40">
        <f t="shared" si="61"/>
        <v>0</v>
      </c>
      <c r="FY63" s="85">
        <v>53858</v>
      </c>
      <c r="GD63" s="40">
        <f t="shared" si="62"/>
        <v>0</v>
      </c>
      <c r="GF63" s="85">
        <v>53858</v>
      </c>
      <c r="GK63" s="40">
        <f t="shared" si="63"/>
        <v>0</v>
      </c>
      <c r="GM63" s="85">
        <v>53858</v>
      </c>
      <c r="GR63" s="40">
        <f t="shared" si="64"/>
        <v>0</v>
      </c>
    </row>
    <row r="64" spans="1:200" x14ac:dyDescent="0.25">
      <c r="F64" s="85">
        <v>54057</v>
      </c>
      <c r="G64" s="85"/>
      <c r="H64" s="85">
        <v>54041</v>
      </c>
      <c r="I64" s="40"/>
      <c r="O64" s="85">
        <v>54057</v>
      </c>
      <c r="P64" s="85"/>
      <c r="Q64" s="85">
        <v>54041</v>
      </c>
      <c r="R64" s="40">
        <f t="shared" si="33"/>
        <v>195348248</v>
      </c>
      <c r="S64" s="40">
        <f t="shared" si="34"/>
        <v>33658043.75</v>
      </c>
      <c r="T64" s="40">
        <f t="shared" si="35"/>
        <v>2866752</v>
      </c>
      <c r="U64" s="40">
        <f t="shared" si="32"/>
        <v>0</v>
      </c>
      <c r="V64" s="40">
        <f t="shared" si="41"/>
        <v>231873043.75</v>
      </c>
      <c r="X64" s="85">
        <v>54041</v>
      </c>
      <c r="Y64" s="40">
        <v>24015000</v>
      </c>
      <c r="Z64" s="101">
        <v>0.04</v>
      </c>
      <c r="AA64" s="40">
        <v>6527900</v>
      </c>
      <c r="AB64" s="40">
        <v>0</v>
      </c>
      <c r="AC64" s="40"/>
      <c r="AD64" s="40">
        <f t="shared" si="3"/>
        <v>30542900</v>
      </c>
      <c r="AF64" s="85">
        <v>54041</v>
      </c>
      <c r="AG64" s="40"/>
      <c r="AH64" s="101"/>
      <c r="AI64" s="40">
        <f t="shared" si="38"/>
        <v>0</v>
      </c>
      <c r="AJ64" s="40">
        <v>0</v>
      </c>
      <c r="AK64" s="40"/>
      <c r="AL64" s="40">
        <f t="shared" si="42"/>
        <v>0</v>
      </c>
      <c r="AN64" s="85">
        <v>54041</v>
      </c>
      <c r="AO64" s="40">
        <v>0</v>
      </c>
      <c r="AP64" s="101"/>
      <c r="AQ64" s="40">
        <f t="shared" si="43"/>
        <v>0</v>
      </c>
      <c r="AR64" s="40">
        <v>0</v>
      </c>
      <c r="AS64" s="40"/>
      <c r="AT64" s="40">
        <f t="shared" si="44"/>
        <v>0</v>
      </c>
      <c r="AV64" s="85">
        <v>54041</v>
      </c>
      <c r="AW64" s="40">
        <v>0</v>
      </c>
      <c r="AX64" s="101"/>
      <c r="AY64" s="40">
        <f t="shared" si="7"/>
        <v>0</v>
      </c>
      <c r="AZ64" s="40">
        <v>0</v>
      </c>
      <c r="BA64" s="40"/>
      <c r="BB64" s="40">
        <f t="shared" si="45"/>
        <v>0</v>
      </c>
      <c r="BD64" s="85">
        <v>54041</v>
      </c>
      <c r="BE64" s="40">
        <v>0</v>
      </c>
      <c r="BF64" s="101"/>
      <c r="BG64" s="40">
        <f t="shared" si="39"/>
        <v>0</v>
      </c>
      <c r="BH64" s="40">
        <v>0</v>
      </c>
      <c r="BI64" s="40"/>
      <c r="BJ64" s="40">
        <f t="shared" si="46"/>
        <v>0</v>
      </c>
      <c r="BL64" s="85">
        <v>54041</v>
      </c>
      <c r="BM64" s="40">
        <v>164330000</v>
      </c>
      <c r="BN64" s="101">
        <v>0.05</v>
      </c>
      <c r="BO64" s="40"/>
      <c r="BP64" s="101"/>
      <c r="BQ64" s="40">
        <f t="shared" si="47"/>
        <v>18260750</v>
      </c>
      <c r="BR64" s="40"/>
      <c r="BS64" s="40"/>
      <c r="BT64" s="40">
        <f t="shared" si="48"/>
        <v>182590750</v>
      </c>
      <c r="BV64" s="85">
        <v>54041</v>
      </c>
      <c r="BW64" s="40"/>
      <c r="BX64" s="40"/>
      <c r="BY64" s="40"/>
      <c r="BZ64" s="40"/>
      <c r="CA64" s="40"/>
      <c r="CB64" s="40">
        <f t="shared" si="40"/>
        <v>0</v>
      </c>
      <c r="CD64" s="85">
        <v>54041</v>
      </c>
      <c r="CE64" s="40">
        <v>0</v>
      </c>
      <c r="CG64" s="40">
        <v>4750125</v>
      </c>
      <c r="CH64" s="40">
        <v>0</v>
      </c>
      <c r="CI64" s="40"/>
      <c r="CJ64" s="40">
        <f t="shared" si="49"/>
        <v>4750125</v>
      </c>
      <c r="CL64" s="85">
        <v>54041</v>
      </c>
      <c r="CM64" s="40">
        <v>3058248</v>
      </c>
      <c r="CN64" s="101">
        <v>4.9500000000000002E-2</v>
      </c>
      <c r="CO64" s="40">
        <v>146643.75</v>
      </c>
      <c r="CP64" s="40">
        <v>2866752</v>
      </c>
      <c r="CQ64" s="40">
        <f t="shared" si="50"/>
        <v>6071643.75</v>
      </c>
      <c r="CS64" s="85">
        <v>54041</v>
      </c>
      <c r="CT64" s="40">
        <v>0</v>
      </c>
      <c r="CU64" s="40"/>
      <c r="CV64" s="40">
        <v>3425625</v>
      </c>
      <c r="CW64" s="40">
        <v>0</v>
      </c>
      <c r="CX64" s="40">
        <f t="shared" si="51"/>
        <v>3425625</v>
      </c>
      <c r="CZ64" s="85">
        <v>54041</v>
      </c>
      <c r="DA64" s="40">
        <v>3945000</v>
      </c>
      <c r="DB64" s="101">
        <v>0.05</v>
      </c>
      <c r="DC64" s="40">
        <v>547000</v>
      </c>
      <c r="DD64" s="40">
        <f t="shared" si="52"/>
        <v>4492000</v>
      </c>
      <c r="DF64" s="85">
        <v>54041</v>
      </c>
      <c r="DJ64" s="40">
        <f t="shared" si="53"/>
        <v>0</v>
      </c>
      <c r="DL64" s="85">
        <v>54041</v>
      </c>
      <c r="DM64" s="40">
        <v>0</v>
      </c>
      <c r="DN64" s="87">
        <v>0</v>
      </c>
      <c r="DO64" s="40"/>
      <c r="DP64" s="40">
        <v>0</v>
      </c>
      <c r="DQ64" s="40">
        <f t="shared" si="54"/>
        <v>0</v>
      </c>
      <c r="DS64" s="85">
        <v>54041</v>
      </c>
      <c r="DU64" s="87"/>
      <c r="DY64" s="85">
        <v>54041</v>
      </c>
      <c r="DZ64" s="40"/>
      <c r="EA64" s="122"/>
      <c r="EB64" s="40"/>
      <c r="EC64" s="40"/>
      <c r="ED64" s="40">
        <f t="shared" si="55"/>
        <v>0</v>
      </c>
      <c r="EF64" s="85">
        <v>54041</v>
      </c>
      <c r="EG64" s="40"/>
      <c r="EH64" s="87"/>
      <c r="EI64" s="40"/>
      <c r="EJ64" s="40">
        <f t="shared" si="56"/>
        <v>0</v>
      </c>
      <c r="EL64" s="85">
        <v>54041</v>
      </c>
      <c r="EM64" s="40"/>
      <c r="EN64" s="87"/>
      <c r="EO64" s="40"/>
      <c r="EP64" s="40"/>
      <c r="EQ64" s="40">
        <f t="shared" si="57"/>
        <v>0</v>
      </c>
      <c r="ES64" s="85">
        <v>54041</v>
      </c>
      <c r="ET64" s="40"/>
      <c r="EU64" s="87"/>
      <c r="EV64" s="40"/>
      <c r="EW64" s="40"/>
      <c r="EX64" s="40">
        <f t="shared" si="58"/>
        <v>0</v>
      </c>
      <c r="EZ64" s="85">
        <v>54041</v>
      </c>
      <c r="FF64" s="85">
        <v>54041</v>
      </c>
      <c r="FJ64" s="40">
        <f t="shared" si="59"/>
        <v>0</v>
      </c>
      <c r="FL64" s="85">
        <v>54041</v>
      </c>
      <c r="FP64" s="40">
        <f t="shared" si="60"/>
        <v>0</v>
      </c>
      <c r="FR64" s="85">
        <v>54041</v>
      </c>
      <c r="FW64" s="40">
        <f t="shared" si="61"/>
        <v>0</v>
      </c>
      <c r="FY64" s="85">
        <v>54041</v>
      </c>
      <c r="GD64" s="40">
        <f t="shared" si="62"/>
        <v>0</v>
      </c>
      <c r="GF64" s="85">
        <v>54041</v>
      </c>
      <c r="GK64" s="40">
        <f t="shared" si="63"/>
        <v>0</v>
      </c>
      <c r="GM64" s="85">
        <v>54041</v>
      </c>
      <c r="GR64" s="40">
        <f t="shared" si="64"/>
        <v>0</v>
      </c>
    </row>
    <row r="65" spans="6:200" x14ac:dyDescent="0.25">
      <c r="F65" s="85">
        <v>54239</v>
      </c>
      <c r="G65" s="85"/>
      <c r="H65" s="85">
        <v>54224</v>
      </c>
      <c r="I65" s="40">
        <f>SUM(Y64,Y65,AG64:AG65,AO64:AO65,AW64:AW65,BE64:BE65,BM64:BM65,BO64:BO65,BW64:BW65,CE64:CE65,CM64:CM65,CT64:CT65,DA64:DA65,DG64:DG65,DM64:DM65,DT64:DT65,DZ64:DZ65,EG64:EG65,EM64:EM65,ET64:ET65,FA64:FA65,FG64:FG65,FM64:FM65,FS64:FS65,FZ64:FZ65,GG64:GG65,GN64:GN65)</f>
        <v>317223248</v>
      </c>
      <c r="J65" s="40">
        <f>SUM(AA64,AA65,AI64:AI65,AQ64:AQ65,AY64:AY65,BG64:BG65,BQ64:BQ65,BY64:BY65,CG64:CG65,CO64:CO65,CV64:CV65,DC64:DC65,DI64:DI65,DO64:DO65,DV64:DV65,EB64:EB65,EI64:EI65,EO64:EO65,EV64:EV65,FC64:FC65,FI64:FI65,FO64:FO65,FU64:FU65,GB64:GB65,GI64:GI65,GP64:GP65)</f>
        <v>62482268.75</v>
      </c>
      <c r="K65" s="40">
        <f>SUM(AB64,AB65,BR64:BR65,BZ64:BZ65,CH64:CH65,CP64:CP65,CW64:CW65,DP64:DP65,EC64:EC65,EP64:EP65,EW64:EW65,FV64:FV65,GC64:GC65,GJ64:GJ65,GQ64:GQ65)</f>
        <v>2866752</v>
      </c>
      <c r="L65" s="40">
        <f>SUM(AC64,AC65,AS64:AS65,BA64:BA65,BI64:BI65,BS64:BS65,CA64:CA65,CI64:CI65)</f>
        <v>0</v>
      </c>
      <c r="M65" s="40">
        <f>SUM(I65:L65)</f>
        <v>382572268.75</v>
      </c>
      <c r="O65" s="85">
        <v>54239</v>
      </c>
      <c r="P65" s="85"/>
      <c r="Q65" s="85">
        <v>54224</v>
      </c>
      <c r="R65" s="40">
        <f t="shared" si="33"/>
        <v>121875000</v>
      </c>
      <c r="S65" s="40">
        <f t="shared" si="34"/>
        <v>28824225</v>
      </c>
      <c r="T65" s="40">
        <f t="shared" si="35"/>
        <v>0</v>
      </c>
      <c r="U65" s="40">
        <f t="shared" si="32"/>
        <v>0</v>
      </c>
      <c r="V65" s="40">
        <f t="shared" si="41"/>
        <v>150699225</v>
      </c>
      <c r="X65" s="85">
        <v>54224</v>
      </c>
      <c r="Y65" s="40">
        <v>9875000</v>
      </c>
      <c r="Z65" s="101">
        <v>0.04</v>
      </c>
      <c r="AA65" s="40">
        <v>6047600</v>
      </c>
      <c r="AB65" s="40">
        <v>0</v>
      </c>
      <c r="AC65" s="40"/>
      <c r="AD65" s="40">
        <f t="shared" si="3"/>
        <v>15922600</v>
      </c>
      <c r="AF65" s="85">
        <v>54224</v>
      </c>
      <c r="AG65" s="40"/>
      <c r="AH65" s="101"/>
      <c r="AI65" s="40">
        <f t="shared" si="38"/>
        <v>0</v>
      </c>
      <c r="AJ65" s="40">
        <v>0</v>
      </c>
      <c r="AK65" s="40"/>
      <c r="AL65" s="40">
        <f t="shared" si="42"/>
        <v>0</v>
      </c>
      <c r="AN65" s="85">
        <v>54224</v>
      </c>
      <c r="AO65" s="40">
        <v>0</v>
      </c>
      <c r="AP65" s="101"/>
      <c r="AQ65" s="40">
        <f t="shared" si="43"/>
        <v>0</v>
      </c>
      <c r="AR65" s="40">
        <v>0</v>
      </c>
      <c r="AS65" s="40"/>
      <c r="AT65" s="40">
        <f t="shared" si="44"/>
        <v>0</v>
      </c>
      <c r="AV65" s="85">
        <v>54224</v>
      </c>
      <c r="AW65" s="40">
        <v>0</v>
      </c>
      <c r="AX65" s="101"/>
      <c r="AY65" s="40">
        <f t="shared" si="7"/>
        <v>0</v>
      </c>
      <c r="AZ65" s="40">
        <v>0</v>
      </c>
      <c r="BA65" s="40"/>
      <c r="BB65" s="40">
        <f t="shared" si="45"/>
        <v>0</v>
      </c>
      <c r="BD65" s="85">
        <v>54224</v>
      </c>
      <c r="BE65" s="40">
        <v>0</v>
      </c>
      <c r="BF65" s="101"/>
      <c r="BG65" s="40">
        <f t="shared" si="39"/>
        <v>0</v>
      </c>
      <c r="BH65" s="40">
        <v>0</v>
      </c>
      <c r="BI65" s="40"/>
      <c r="BJ65" s="40">
        <f t="shared" si="46"/>
        <v>0</v>
      </c>
      <c r="BL65" s="85">
        <v>54224</v>
      </c>
      <c r="BM65" s="40">
        <v>37170000</v>
      </c>
      <c r="BN65" s="101">
        <v>0.05</v>
      </c>
      <c r="BO65" s="40">
        <v>74830000</v>
      </c>
      <c r="BP65" s="101">
        <v>0.04</v>
      </c>
      <c r="BQ65" s="40">
        <f t="shared" si="47"/>
        <v>14152500</v>
      </c>
      <c r="BR65" s="40"/>
      <c r="BS65" s="40"/>
      <c r="BT65" s="40">
        <f t="shared" si="48"/>
        <v>126152500</v>
      </c>
      <c r="BV65" s="85">
        <v>54224</v>
      </c>
      <c r="BW65" s="40"/>
      <c r="BX65" s="40"/>
      <c r="BY65" s="40"/>
      <c r="BZ65" s="40"/>
      <c r="CA65" s="40"/>
      <c r="CB65" s="40">
        <f t="shared" si="40"/>
        <v>0</v>
      </c>
      <c r="CD65" s="85">
        <v>54224</v>
      </c>
      <c r="CE65" s="40">
        <v>0</v>
      </c>
      <c r="CG65" s="40">
        <v>4750125</v>
      </c>
      <c r="CH65" s="40">
        <v>0</v>
      </c>
      <c r="CI65" s="40"/>
      <c r="CJ65" s="40">
        <f t="shared" si="49"/>
        <v>4750125</v>
      </c>
      <c r="CL65" s="85">
        <v>54224</v>
      </c>
      <c r="CM65" s="40">
        <v>0</v>
      </c>
      <c r="CN65" s="101"/>
      <c r="CO65" s="40">
        <v>0</v>
      </c>
      <c r="CP65" s="40">
        <v>0</v>
      </c>
      <c r="CQ65" s="40">
        <f t="shared" si="50"/>
        <v>0</v>
      </c>
      <c r="CS65" s="85">
        <v>54224</v>
      </c>
      <c r="CT65" s="40">
        <v>0</v>
      </c>
      <c r="CU65" s="40"/>
      <c r="CV65" s="40">
        <v>3425625</v>
      </c>
      <c r="CW65" s="40">
        <v>0</v>
      </c>
      <c r="CX65" s="40">
        <f t="shared" si="51"/>
        <v>3425625</v>
      </c>
      <c r="CZ65" s="85">
        <v>54224</v>
      </c>
      <c r="DA65" s="40">
        <v>0</v>
      </c>
      <c r="DB65" s="40"/>
      <c r="DC65" s="40">
        <v>448375</v>
      </c>
      <c r="DD65" s="40">
        <f t="shared" si="52"/>
        <v>448375</v>
      </c>
      <c r="DF65" s="85">
        <v>54224</v>
      </c>
      <c r="DJ65" s="40">
        <f t="shared" si="53"/>
        <v>0</v>
      </c>
      <c r="DL65" s="85">
        <v>54224</v>
      </c>
      <c r="DM65" s="40">
        <v>0</v>
      </c>
      <c r="DN65" s="87">
        <v>0</v>
      </c>
      <c r="DO65" s="40"/>
      <c r="DP65" s="40">
        <v>0</v>
      </c>
      <c r="DQ65" s="40">
        <f t="shared" si="54"/>
        <v>0</v>
      </c>
      <c r="DS65" s="85">
        <v>54224</v>
      </c>
      <c r="DU65" s="87"/>
      <c r="DY65" s="85">
        <v>54224</v>
      </c>
      <c r="DZ65" s="40"/>
      <c r="EA65" s="122"/>
      <c r="EB65" s="40"/>
      <c r="EC65" s="40"/>
      <c r="ED65" s="40">
        <f t="shared" si="55"/>
        <v>0</v>
      </c>
      <c r="EF65" s="85">
        <v>54224</v>
      </c>
      <c r="EG65" s="40"/>
      <c r="EH65" s="87"/>
      <c r="EI65" s="40"/>
      <c r="EJ65" s="40">
        <f t="shared" si="56"/>
        <v>0</v>
      </c>
      <c r="EL65" s="85">
        <v>54224</v>
      </c>
      <c r="EM65" s="40"/>
      <c r="EN65" s="87"/>
      <c r="EO65" s="40"/>
      <c r="EP65" s="40"/>
      <c r="EQ65" s="40">
        <f t="shared" si="57"/>
        <v>0</v>
      </c>
      <c r="ES65" s="85">
        <v>54224</v>
      </c>
      <c r="ET65" s="40"/>
      <c r="EU65" s="87"/>
      <c r="EV65" s="40"/>
      <c r="EW65" s="40"/>
      <c r="EX65" s="40">
        <f t="shared" si="58"/>
        <v>0</v>
      </c>
      <c r="EZ65" s="85">
        <v>54224</v>
      </c>
      <c r="FF65" s="85">
        <v>54224</v>
      </c>
      <c r="FJ65" s="40">
        <f t="shared" si="59"/>
        <v>0</v>
      </c>
      <c r="FL65" s="85">
        <v>54224</v>
      </c>
      <c r="FP65" s="40">
        <f t="shared" si="60"/>
        <v>0</v>
      </c>
      <c r="FR65" s="85">
        <v>54224</v>
      </c>
      <c r="FW65" s="40">
        <f t="shared" si="61"/>
        <v>0</v>
      </c>
      <c r="FY65" s="85">
        <v>54224</v>
      </c>
      <c r="GD65" s="40">
        <f t="shared" si="62"/>
        <v>0</v>
      </c>
      <c r="GF65" s="85">
        <v>54224</v>
      </c>
      <c r="GK65" s="40">
        <f t="shared" si="63"/>
        <v>0</v>
      </c>
      <c r="GM65" s="85">
        <v>54224</v>
      </c>
      <c r="GR65" s="40">
        <f t="shared" si="64"/>
        <v>0</v>
      </c>
    </row>
    <row r="66" spans="6:200" x14ac:dyDescent="0.25">
      <c r="F66" s="85">
        <v>54423</v>
      </c>
      <c r="G66" s="85"/>
      <c r="H66" s="85">
        <v>54407</v>
      </c>
      <c r="I66" s="40"/>
      <c r="O66" s="85">
        <v>54423</v>
      </c>
      <c r="P66" s="85"/>
      <c r="Q66" s="85">
        <v>54407</v>
      </c>
      <c r="R66" s="40">
        <f t="shared" si="33"/>
        <v>205370000</v>
      </c>
      <c r="S66" s="40">
        <f t="shared" si="34"/>
        <v>26200875</v>
      </c>
      <c r="T66" s="40">
        <f t="shared" si="35"/>
        <v>0</v>
      </c>
      <c r="U66" s="40">
        <f t="shared" si="32"/>
        <v>0</v>
      </c>
      <c r="V66" s="40">
        <f t="shared" si="41"/>
        <v>231570875</v>
      </c>
      <c r="X66" s="85">
        <v>54407</v>
      </c>
      <c r="Y66" s="40">
        <v>24595000</v>
      </c>
      <c r="Z66" s="101">
        <v>0.04</v>
      </c>
      <c r="AA66" s="40">
        <v>5850100</v>
      </c>
      <c r="AB66" s="40">
        <v>0</v>
      </c>
      <c r="AC66" s="40"/>
      <c r="AD66" s="40">
        <f t="shared" si="3"/>
        <v>30445100</v>
      </c>
      <c r="AF66" s="85">
        <v>54407</v>
      </c>
      <c r="AG66" s="40"/>
      <c r="AH66" s="101"/>
      <c r="AI66" s="40">
        <f t="shared" si="38"/>
        <v>0</v>
      </c>
      <c r="AJ66" s="40">
        <v>0</v>
      </c>
      <c r="AK66" s="40"/>
      <c r="AL66" s="40">
        <f t="shared" si="42"/>
        <v>0</v>
      </c>
      <c r="AN66" s="85">
        <v>54407</v>
      </c>
      <c r="AO66" s="40">
        <v>0</v>
      </c>
      <c r="AP66" s="101"/>
      <c r="AQ66" s="40">
        <f t="shared" si="43"/>
        <v>0</v>
      </c>
      <c r="AR66" s="40">
        <v>0</v>
      </c>
      <c r="AS66" s="40"/>
      <c r="AT66" s="40">
        <f t="shared" si="44"/>
        <v>0</v>
      </c>
      <c r="AV66" s="85">
        <v>54407</v>
      </c>
      <c r="AW66" s="40">
        <v>0</v>
      </c>
      <c r="AX66" s="101"/>
      <c r="AY66" s="40">
        <f t="shared" si="7"/>
        <v>0</v>
      </c>
      <c r="AZ66" s="40">
        <v>0</v>
      </c>
      <c r="BA66" s="40"/>
      <c r="BB66" s="40">
        <f t="shared" si="45"/>
        <v>0</v>
      </c>
      <c r="BD66" s="85">
        <v>54407</v>
      </c>
      <c r="BE66" s="40">
        <v>0</v>
      </c>
      <c r="BF66" s="101"/>
      <c r="BG66" s="40">
        <f t="shared" si="39"/>
        <v>0</v>
      </c>
      <c r="BH66" s="40">
        <v>0</v>
      </c>
      <c r="BI66" s="40"/>
      <c r="BJ66" s="40">
        <f t="shared" si="46"/>
        <v>0</v>
      </c>
      <c r="BL66" s="85">
        <v>54407</v>
      </c>
      <c r="BM66" s="40">
        <v>59090000</v>
      </c>
      <c r="BN66" s="101">
        <v>0.05</v>
      </c>
      <c r="BO66" s="40">
        <v>117540000</v>
      </c>
      <c r="BP66" s="101">
        <v>0.04</v>
      </c>
      <c r="BQ66" s="40">
        <f t="shared" si="47"/>
        <v>11726650</v>
      </c>
      <c r="BR66" s="40"/>
      <c r="BS66" s="40"/>
      <c r="BT66" s="40">
        <f t="shared" si="48"/>
        <v>188356650</v>
      </c>
      <c r="BV66" s="85">
        <v>54407</v>
      </c>
      <c r="BW66" s="40"/>
      <c r="BX66" s="40"/>
      <c r="BY66" s="40"/>
      <c r="BZ66" s="40"/>
      <c r="CA66" s="40"/>
      <c r="CB66" s="40">
        <f t="shared" si="40"/>
        <v>0</v>
      </c>
      <c r="CD66" s="85">
        <v>54407</v>
      </c>
      <c r="CE66" s="40">
        <v>0</v>
      </c>
      <c r="CG66" s="40">
        <v>4750125</v>
      </c>
      <c r="CH66" s="40">
        <v>0</v>
      </c>
      <c r="CI66" s="40"/>
      <c r="CJ66" s="40">
        <f t="shared" si="49"/>
        <v>4750125</v>
      </c>
      <c r="CL66" s="85">
        <v>54407</v>
      </c>
      <c r="CM66" s="40">
        <v>0</v>
      </c>
      <c r="CN66" s="101"/>
      <c r="CO66" s="40">
        <v>0</v>
      </c>
      <c r="CP66" s="40">
        <v>0</v>
      </c>
      <c r="CQ66" s="40">
        <f t="shared" si="50"/>
        <v>0</v>
      </c>
      <c r="CS66" s="85">
        <v>54407</v>
      </c>
      <c r="CT66" s="40">
        <v>0</v>
      </c>
      <c r="CU66" s="40"/>
      <c r="CV66" s="40">
        <v>3425625</v>
      </c>
      <c r="CW66" s="40">
        <v>0</v>
      </c>
      <c r="CX66" s="40">
        <f t="shared" si="51"/>
        <v>3425625</v>
      </c>
      <c r="CZ66" s="85">
        <v>54407</v>
      </c>
      <c r="DA66" s="40">
        <v>4145000</v>
      </c>
      <c r="DB66" s="101">
        <v>0.05</v>
      </c>
      <c r="DC66" s="40">
        <v>448375</v>
      </c>
      <c r="DD66" s="40">
        <f t="shared" si="52"/>
        <v>4593375</v>
      </c>
      <c r="DF66" s="85">
        <v>54407</v>
      </c>
      <c r="DJ66" s="40">
        <f t="shared" si="53"/>
        <v>0</v>
      </c>
      <c r="DL66" s="85">
        <v>54407</v>
      </c>
      <c r="DM66" s="40">
        <v>0</v>
      </c>
      <c r="DN66" s="87">
        <v>0</v>
      </c>
      <c r="DO66" s="40"/>
      <c r="DP66" s="40">
        <v>0</v>
      </c>
      <c r="DQ66" s="40">
        <f t="shared" si="54"/>
        <v>0</v>
      </c>
      <c r="DS66" s="85">
        <v>54407</v>
      </c>
      <c r="DU66" s="87"/>
      <c r="DY66" s="85">
        <v>54407</v>
      </c>
      <c r="DZ66" s="40"/>
      <c r="EA66" s="122"/>
      <c r="EB66" s="40"/>
      <c r="EC66" s="40"/>
      <c r="ED66" s="40">
        <f t="shared" si="55"/>
        <v>0</v>
      </c>
      <c r="EF66" s="85">
        <v>54407</v>
      </c>
      <c r="EG66" s="40"/>
      <c r="EH66" s="87"/>
      <c r="EI66" s="40"/>
      <c r="EJ66" s="40">
        <f t="shared" si="56"/>
        <v>0</v>
      </c>
      <c r="EL66" s="85">
        <v>54407</v>
      </c>
      <c r="EM66" s="40"/>
      <c r="EN66" s="87"/>
      <c r="EO66" s="40"/>
      <c r="EP66" s="40"/>
      <c r="EQ66" s="40">
        <f t="shared" si="57"/>
        <v>0</v>
      </c>
      <c r="ES66" s="85">
        <v>54407</v>
      </c>
      <c r="ET66" s="40"/>
      <c r="EU66" s="87"/>
      <c r="EV66" s="40"/>
      <c r="EW66" s="40"/>
      <c r="EX66" s="40">
        <f t="shared" si="58"/>
        <v>0</v>
      </c>
      <c r="EZ66" s="85">
        <v>54407</v>
      </c>
      <c r="FF66" s="85">
        <v>54407</v>
      </c>
      <c r="FJ66" s="40">
        <f t="shared" si="59"/>
        <v>0</v>
      </c>
      <c r="FL66" s="85">
        <v>54407</v>
      </c>
      <c r="FP66" s="40">
        <f t="shared" si="60"/>
        <v>0</v>
      </c>
      <c r="FR66" s="85">
        <v>54407</v>
      </c>
      <c r="FW66" s="40">
        <f t="shared" si="61"/>
        <v>0</v>
      </c>
      <c r="FY66" s="85">
        <v>54407</v>
      </c>
      <c r="GD66" s="40">
        <f t="shared" si="62"/>
        <v>0</v>
      </c>
      <c r="GF66" s="85">
        <v>54407</v>
      </c>
      <c r="GK66" s="40">
        <f t="shared" si="63"/>
        <v>0</v>
      </c>
      <c r="GM66" s="85">
        <v>54407</v>
      </c>
      <c r="GN66" s="67"/>
      <c r="GO66" s="67"/>
      <c r="GP66" s="67"/>
      <c r="GQ66" s="67"/>
      <c r="GR66" s="40">
        <f t="shared" si="64"/>
        <v>0</v>
      </c>
    </row>
    <row r="67" spans="6:200" x14ac:dyDescent="0.25">
      <c r="F67" s="85">
        <v>54604</v>
      </c>
      <c r="G67" s="85"/>
      <c r="H67" s="85">
        <v>54589</v>
      </c>
      <c r="I67" s="40">
        <f>SUM(Y66,Y67,AG66:AG67,AO66:AO67,AW66:AW67,BE66:BE67,BM66:BM67,BO66:BO67,BW66:BW67,CE66:CE67,CM66:CM67,CT66:CT67,DA66:DA67,DG66:DG67,DM66:DM67,DT66:DT67,DZ66:DZ67,EG66:EG67,EM66:EM67,ET66:ET67,FA66:FA67,FG66:FG67,FM66:FM67,FS66:FS67,FZ66:FZ67,GG66:GG67,GN66:GN67)</f>
        <v>329709595.30000001</v>
      </c>
      <c r="J67" s="40">
        <f>SUM(AA66,AA67,AI66:AI67,AQ66:AQ67,AY66:AY67,BG66:BG67,BQ66:BQ67,BY66:BY67,CG66:CG67,CO66:CO67,CV66:CV67,DC66:DC67,DI66:DI67,DO66:DO67,DV66:DV67,EB66:EB67,EI66:EI67,EO66:EO67,EV66:EV67,FC66:FC67,FI66:FI67,FO66:FO67,FU66:FU67,GB66:GB67,GI66:GI67,GP66:GP67)</f>
        <v>47978175</v>
      </c>
      <c r="K67" s="40">
        <f>SUM(AB66,AB67,BR66:BR67,BZ66:BZ67,CH66:CH67,CP66:CP67,CW66:CW67,DP66:DP67,EC66:EC67,EP66:EP67,EW66:EW67,FV66:FV67,GC66:GC67,GJ66:GJ67,GQ66:GQ67)</f>
        <v>4883964</v>
      </c>
      <c r="L67" s="40">
        <f>SUM(AC66,AC67,AS66:AS67,BA66:BA67,BI66:BI67,BS66:BS67,CA66:CA67,CI66:CI67)</f>
        <v>0</v>
      </c>
      <c r="M67" s="40">
        <f>SUM(I67:L67)</f>
        <v>382571734.30000001</v>
      </c>
      <c r="O67" s="85">
        <v>54604</v>
      </c>
      <c r="P67" s="85"/>
      <c r="Q67" s="85">
        <v>54589</v>
      </c>
      <c r="R67" s="40">
        <f t="shared" si="33"/>
        <v>124339595.3</v>
      </c>
      <c r="S67" s="40">
        <f t="shared" si="34"/>
        <v>21777300</v>
      </c>
      <c r="T67" s="40">
        <f t="shared" si="35"/>
        <v>4883964</v>
      </c>
      <c r="U67" s="40">
        <f t="shared" si="32"/>
        <v>0</v>
      </c>
      <c r="V67" s="40">
        <f t="shared" si="41"/>
        <v>151000859.30000001</v>
      </c>
      <c r="X67" s="85">
        <v>54589</v>
      </c>
      <c r="Y67" s="40">
        <v>10665000</v>
      </c>
      <c r="Z67" s="101">
        <v>0.04</v>
      </c>
      <c r="AA67" s="40">
        <v>5358200</v>
      </c>
      <c r="AB67" s="40">
        <v>0</v>
      </c>
      <c r="AC67" s="40"/>
      <c r="AD67" s="40">
        <f t="shared" si="3"/>
        <v>16023200</v>
      </c>
      <c r="AF67" s="85">
        <v>54589</v>
      </c>
      <c r="AG67" s="40"/>
      <c r="AH67" s="101"/>
      <c r="AI67" s="40">
        <f t="shared" si="38"/>
        <v>0</v>
      </c>
      <c r="AJ67" s="40">
        <v>0</v>
      </c>
      <c r="AK67" s="40"/>
      <c r="AL67" s="40">
        <f t="shared" si="42"/>
        <v>0</v>
      </c>
      <c r="AN67" s="85">
        <v>54589</v>
      </c>
      <c r="AO67" s="40">
        <v>0</v>
      </c>
      <c r="AP67" s="101"/>
      <c r="AQ67" s="40">
        <f t="shared" si="43"/>
        <v>0</v>
      </c>
      <c r="AR67" s="40">
        <v>0</v>
      </c>
      <c r="AS67" s="40"/>
      <c r="AT67" s="40">
        <f t="shared" si="44"/>
        <v>0</v>
      </c>
      <c r="AV67" s="85">
        <v>54589</v>
      </c>
      <c r="AW67" s="40">
        <v>0</v>
      </c>
      <c r="AX67" s="101"/>
      <c r="AY67" s="40">
        <f t="shared" si="7"/>
        <v>0</v>
      </c>
      <c r="AZ67" s="40">
        <v>0</v>
      </c>
      <c r="BA67" s="40"/>
      <c r="BB67" s="40">
        <f t="shared" si="45"/>
        <v>0</v>
      </c>
      <c r="BD67" s="85">
        <v>54589</v>
      </c>
      <c r="BE67" s="40">
        <v>0</v>
      </c>
      <c r="BF67" s="101"/>
      <c r="BG67" s="40">
        <f t="shared" si="39"/>
        <v>0</v>
      </c>
      <c r="BH67" s="40">
        <v>0</v>
      </c>
      <c r="BI67" s="40"/>
      <c r="BJ67" s="40">
        <f t="shared" si="46"/>
        <v>0</v>
      </c>
      <c r="BL67" s="85">
        <v>54589</v>
      </c>
      <c r="BM67" s="40">
        <v>37165000</v>
      </c>
      <c r="BN67" s="101">
        <v>0.05</v>
      </c>
      <c r="BO67" s="40">
        <v>75325000</v>
      </c>
      <c r="BP67" s="101">
        <v>0.04</v>
      </c>
      <c r="BQ67" s="40">
        <f t="shared" si="47"/>
        <v>7898600</v>
      </c>
      <c r="BR67" s="40"/>
      <c r="BS67" s="40"/>
      <c r="BT67" s="40">
        <f t="shared" si="48"/>
        <v>120388600</v>
      </c>
      <c r="BV67" s="85">
        <v>54589</v>
      </c>
      <c r="BW67" s="40"/>
      <c r="BX67" s="40"/>
      <c r="BY67" s="40"/>
      <c r="BZ67" s="40"/>
      <c r="CA67" s="40"/>
      <c r="CB67" s="40">
        <f t="shared" si="40"/>
        <v>0</v>
      </c>
      <c r="CD67" s="85">
        <v>54589</v>
      </c>
      <c r="CE67" s="40">
        <v>0</v>
      </c>
      <c r="CG67" s="40">
        <v>4750125</v>
      </c>
      <c r="CH67" s="40">
        <v>0</v>
      </c>
      <c r="CI67" s="40"/>
      <c r="CJ67" s="40">
        <f t="shared" si="49"/>
        <v>4750125</v>
      </c>
      <c r="CL67" s="85">
        <v>54589</v>
      </c>
      <c r="CM67" s="40">
        <v>1184595.3</v>
      </c>
      <c r="CN67" s="101">
        <v>5.2499999999999998E-2</v>
      </c>
      <c r="CO67" s="40">
        <v>0</v>
      </c>
      <c r="CP67" s="40">
        <v>4883964</v>
      </c>
      <c r="CQ67" s="40">
        <f t="shared" si="50"/>
        <v>6068559.2999999998</v>
      </c>
      <c r="CS67" s="85">
        <v>54589</v>
      </c>
      <c r="CT67" s="40">
        <v>0</v>
      </c>
      <c r="CU67" s="40"/>
      <c r="CV67" s="40">
        <v>3425625</v>
      </c>
      <c r="CW67" s="40">
        <v>0</v>
      </c>
      <c r="CX67" s="40">
        <f t="shared" si="51"/>
        <v>3425625</v>
      </c>
      <c r="CZ67" s="85">
        <v>54589</v>
      </c>
      <c r="DA67" s="40">
        <v>0</v>
      </c>
      <c r="DB67" s="40"/>
      <c r="DC67" s="40">
        <v>344750</v>
      </c>
      <c r="DD67" s="40">
        <f t="shared" si="52"/>
        <v>344750</v>
      </c>
      <c r="DF67" s="85">
        <v>54589</v>
      </c>
      <c r="DJ67" s="40">
        <f t="shared" si="53"/>
        <v>0</v>
      </c>
      <c r="DL67" s="85">
        <v>54589</v>
      </c>
      <c r="DM67" s="40">
        <v>0</v>
      </c>
      <c r="DN67" s="87">
        <v>0</v>
      </c>
      <c r="DO67" s="40"/>
      <c r="DP67" s="40">
        <v>0</v>
      </c>
      <c r="DQ67" s="40">
        <f t="shared" si="54"/>
        <v>0</v>
      </c>
      <c r="DS67" s="85">
        <v>54589</v>
      </c>
      <c r="DT67" s="67"/>
      <c r="DU67" s="94"/>
      <c r="DV67" s="67"/>
      <c r="DW67" s="67"/>
      <c r="DY67" s="85">
        <v>54589</v>
      </c>
      <c r="DZ67" s="40"/>
      <c r="EA67" s="122"/>
      <c r="EB67" s="40"/>
      <c r="EC67" s="40"/>
      <c r="ED67" s="40">
        <f t="shared" si="55"/>
        <v>0</v>
      </c>
      <c r="EF67" s="85">
        <v>54589</v>
      </c>
      <c r="EG67" s="40"/>
      <c r="EH67" s="87"/>
      <c r="EI67" s="40"/>
      <c r="EJ67" s="40">
        <f t="shared" si="56"/>
        <v>0</v>
      </c>
      <c r="EL67" s="85">
        <v>54589</v>
      </c>
      <c r="EM67" s="67"/>
      <c r="EN67" s="87"/>
      <c r="EO67" s="67"/>
      <c r="EP67" s="67"/>
      <c r="EQ67" s="40">
        <f t="shared" si="57"/>
        <v>0</v>
      </c>
      <c r="ES67" s="85">
        <v>54589</v>
      </c>
      <c r="ET67" s="67"/>
      <c r="EU67" s="87"/>
      <c r="EV67" s="67"/>
      <c r="EW67" s="67"/>
      <c r="EX67" s="40">
        <f t="shared" si="58"/>
        <v>0</v>
      </c>
      <c r="EZ67" s="85">
        <v>54589</v>
      </c>
      <c r="FA67" s="67"/>
      <c r="FB67" s="67"/>
      <c r="FC67" s="67"/>
      <c r="FD67" s="67"/>
      <c r="FF67" s="85">
        <v>54589</v>
      </c>
      <c r="FG67" s="67"/>
      <c r="FH67" s="67"/>
      <c r="FI67" s="67"/>
      <c r="FJ67" s="40">
        <f t="shared" si="59"/>
        <v>0</v>
      </c>
      <c r="FL67" s="85">
        <v>54589</v>
      </c>
      <c r="FM67" s="67"/>
      <c r="FN67" s="67"/>
      <c r="FO67" s="67"/>
      <c r="FP67" s="40">
        <f t="shared" si="60"/>
        <v>0</v>
      </c>
      <c r="FR67" s="85">
        <v>54589</v>
      </c>
      <c r="FS67" s="67"/>
      <c r="FT67" s="67"/>
      <c r="FU67" s="67"/>
      <c r="FV67" s="67"/>
      <c r="FW67" s="40">
        <f t="shared" si="61"/>
        <v>0</v>
      </c>
      <c r="FY67" s="85">
        <v>54589</v>
      </c>
      <c r="FZ67" s="67"/>
      <c r="GA67" s="67"/>
      <c r="GB67" s="67"/>
      <c r="GC67" s="67"/>
      <c r="GD67" s="40">
        <f t="shared" si="62"/>
        <v>0</v>
      </c>
      <c r="GF67" s="85">
        <v>54589</v>
      </c>
      <c r="GG67" s="67"/>
      <c r="GH67" s="67"/>
      <c r="GI67" s="67"/>
      <c r="GJ67" s="67"/>
      <c r="GK67" s="40">
        <f t="shared" si="63"/>
        <v>0</v>
      </c>
      <c r="GM67" s="85">
        <v>54589</v>
      </c>
      <c r="GN67" s="67"/>
      <c r="GO67" s="67"/>
      <c r="GP67" s="67"/>
      <c r="GQ67" s="67"/>
      <c r="GR67" s="40">
        <f t="shared" si="64"/>
        <v>0</v>
      </c>
    </row>
    <row r="68" spans="6:200" x14ac:dyDescent="0.25">
      <c r="F68" s="85">
        <v>54788</v>
      </c>
      <c r="G68" s="85"/>
      <c r="H68" s="85">
        <v>54772</v>
      </c>
      <c r="I68" s="40"/>
      <c r="O68" s="85">
        <v>54788</v>
      </c>
      <c r="P68" s="85"/>
      <c r="Q68" s="85">
        <v>54772</v>
      </c>
      <c r="R68" s="40">
        <f t="shared" si="33"/>
        <v>168226263.55000001</v>
      </c>
      <c r="S68" s="40">
        <f t="shared" si="34"/>
        <v>19128375</v>
      </c>
      <c r="T68" s="40">
        <f t="shared" si="35"/>
        <v>43898910.299999997</v>
      </c>
      <c r="U68" s="40">
        <f t="shared" si="32"/>
        <v>0</v>
      </c>
      <c r="V68" s="40">
        <f t="shared" si="41"/>
        <v>231253548.85000002</v>
      </c>
      <c r="X68" s="85">
        <v>54772</v>
      </c>
      <c r="Y68" s="40">
        <v>24710000</v>
      </c>
      <c r="Z68" s="101">
        <v>0.04</v>
      </c>
      <c r="AA68" s="40">
        <v>5144900</v>
      </c>
      <c r="AB68" s="40">
        <v>0</v>
      </c>
      <c r="AC68" s="40"/>
      <c r="AD68" s="40">
        <f t="shared" si="3"/>
        <v>29854900</v>
      </c>
      <c r="AF68" s="85">
        <v>54772</v>
      </c>
      <c r="AG68" s="40"/>
      <c r="AH68" s="101"/>
      <c r="AI68" s="40">
        <f t="shared" si="38"/>
        <v>0</v>
      </c>
      <c r="AJ68" s="40">
        <v>0</v>
      </c>
      <c r="AK68" s="40"/>
      <c r="AL68" s="40">
        <f t="shared" si="42"/>
        <v>0</v>
      </c>
      <c r="AN68" s="85">
        <v>54772</v>
      </c>
      <c r="AO68" s="40">
        <v>0</v>
      </c>
      <c r="AP68" s="101"/>
      <c r="AQ68" s="40">
        <f t="shared" si="43"/>
        <v>0</v>
      </c>
      <c r="AR68" s="40">
        <v>0</v>
      </c>
      <c r="AS68" s="40"/>
      <c r="AT68" s="40">
        <f t="shared" si="44"/>
        <v>0</v>
      </c>
      <c r="AV68" s="85">
        <v>54772</v>
      </c>
      <c r="AW68" s="40">
        <v>0</v>
      </c>
      <c r="AX68" s="101"/>
      <c r="AY68" s="40">
        <f t="shared" si="7"/>
        <v>0</v>
      </c>
      <c r="AZ68" s="40">
        <v>0</v>
      </c>
      <c r="BA68" s="40"/>
      <c r="BB68" s="40">
        <f t="shared" si="45"/>
        <v>0</v>
      </c>
      <c r="BD68" s="85">
        <v>54772</v>
      </c>
      <c r="BE68" s="40">
        <v>0</v>
      </c>
      <c r="BF68" s="101"/>
      <c r="BG68" s="40">
        <f t="shared" si="39"/>
        <v>0</v>
      </c>
      <c r="BH68" s="40">
        <v>0</v>
      </c>
      <c r="BI68" s="40"/>
      <c r="BJ68" s="40">
        <f t="shared" si="46"/>
        <v>0</v>
      </c>
      <c r="BL68" s="85">
        <v>54772</v>
      </c>
      <c r="BM68" s="40">
        <v>47075000</v>
      </c>
      <c r="BN68" s="101">
        <v>0.05</v>
      </c>
      <c r="BO68" s="40">
        <v>81660000</v>
      </c>
      <c r="BP68" s="101">
        <v>0.04</v>
      </c>
      <c r="BQ68" s="40">
        <f t="shared" si="47"/>
        <v>5462975</v>
      </c>
      <c r="BR68" s="40"/>
      <c r="BS68" s="40"/>
      <c r="BT68" s="40">
        <f t="shared" si="48"/>
        <v>134197975</v>
      </c>
      <c r="BV68" s="85">
        <v>54772</v>
      </c>
      <c r="BW68" s="40"/>
      <c r="BX68" s="40"/>
      <c r="BY68" s="40"/>
      <c r="BZ68" s="40"/>
      <c r="CA68" s="40"/>
      <c r="CB68" s="40">
        <f t="shared" si="40"/>
        <v>0</v>
      </c>
      <c r="CD68" s="85">
        <v>54772</v>
      </c>
      <c r="CE68" s="40">
        <v>0</v>
      </c>
      <c r="CG68" s="40">
        <v>4750125</v>
      </c>
      <c r="CH68" s="40">
        <v>0</v>
      </c>
      <c r="CI68" s="40"/>
      <c r="CJ68" s="40">
        <f t="shared" si="49"/>
        <v>4750125</v>
      </c>
      <c r="CL68" s="85">
        <v>54772</v>
      </c>
      <c r="CM68" s="40">
        <v>10311263.550000001</v>
      </c>
      <c r="CN68" s="101">
        <v>5.2499999999999998E-2</v>
      </c>
      <c r="CO68" s="40">
        <v>0</v>
      </c>
      <c r="CP68" s="40">
        <v>43898910.299999997</v>
      </c>
      <c r="CQ68" s="40">
        <f t="shared" si="50"/>
        <v>54210173.849999994</v>
      </c>
      <c r="CS68" s="85">
        <v>54772</v>
      </c>
      <c r="CT68" s="40">
        <v>0</v>
      </c>
      <c r="CU68" s="40"/>
      <c r="CV68" s="40">
        <v>3425625</v>
      </c>
      <c r="CW68" s="40">
        <v>0</v>
      </c>
      <c r="CX68" s="40">
        <f t="shared" si="51"/>
        <v>3425625</v>
      </c>
      <c r="CZ68" s="85">
        <v>54772</v>
      </c>
      <c r="DA68" s="40">
        <v>4470000</v>
      </c>
      <c r="DB68" s="101">
        <v>0.05</v>
      </c>
      <c r="DC68" s="40">
        <v>344750</v>
      </c>
      <c r="DD68" s="40">
        <f t="shared" si="52"/>
        <v>4814750</v>
      </c>
      <c r="DF68" s="85">
        <v>54772</v>
      </c>
      <c r="DJ68" s="40">
        <f t="shared" si="53"/>
        <v>0</v>
      </c>
      <c r="DL68" s="85">
        <v>54772</v>
      </c>
      <c r="DM68" s="40">
        <v>0</v>
      </c>
      <c r="DN68" s="87">
        <v>0</v>
      </c>
      <c r="DO68" s="40"/>
      <c r="DP68" s="40">
        <v>0</v>
      </c>
      <c r="DQ68" s="40">
        <f t="shared" si="54"/>
        <v>0</v>
      </c>
      <c r="DS68" s="85">
        <v>54772</v>
      </c>
      <c r="DU68" s="87"/>
      <c r="DY68" s="85">
        <v>54772</v>
      </c>
      <c r="DZ68" s="40"/>
      <c r="EA68" s="122"/>
      <c r="EB68" s="40"/>
      <c r="EC68" s="40"/>
      <c r="ED68" s="40">
        <f t="shared" si="55"/>
        <v>0</v>
      </c>
      <c r="EF68" s="85">
        <v>54772</v>
      </c>
      <c r="EG68" s="40"/>
      <c r="EH68" s="87"/>
      <c r="EI68" s="40"/>
      <c r="EJ68" s="40">
        <f t="shared" si="56"/>
        <v>0</v>
      </c>
      <c r="EL68" s="85">
        <v>54772</v>
      </c>
      <c r="EN68" s="87"/>
      <c r="EQ68" s="40">
        <f t="shared" si="57"/>
        <v>0</v>
      </c>
      <c r="ES68" s="85">
        <v>54772</v>
      </c>
      <c r="EU68" s="87"/>
      <c r="EX68" s="40">
        <f t="shared" si="58"/>
        <v>0</v>
      </c>
      <c r="EZ68" s="85">
        <v>54772</v>
      </c>
      <c r="FA68" s="67"/>
      <c r="FB68" s="67"/>
      <c r="FC68" s="67"/>
      <c r="FD68" s="67"/>
      <c r="FF68" s="85">
        <v>54772</v>
      </c>
      <c r="FG68" s="67"/>
      <c r="FH68" s="67"/>
      <c r="FI68" s="67"/>
      <c r="FJ68" s="40">
        <f t="shared" si="59"/>
        <v>0</v>
      </c>
      <c r="FL68" s="85">
        <v>54772</v>
      </c>
      <c r="FM68" s="67"/>
      <c r="FN68" s="67"/>
      <c r="FO68" s="67"/>
      <c r="FP68" s="40">
        <f t="shared" si="60"/>
        <v>0</v>
      </c>
      <c r="FR68" s="85">
        <v>54772</v>
      </c>
      <c r="FS68" s="67"/>
      <c r="FT68" s="67"/>
      <c r="FU68" s="67"/>
      <c r="FV68" s="67"/>
      <c r="FW68" s="40">
        <f t="shared" si="61"/>
        <v>0</v>
      </c>
      <c r="FY68" s="85">
        <v>54772</v>
      </c>
      <c r="FZ68" s="67"/>
      <c r="GA68" s="67"/>
      <c r="GB68" s="67"/>
      <c r="GC68" s="67"/>
      <c r="GD68" s="40">
        <f t="shared" si="62"/>
        <v>0</v>
      </c>
      <c r="GF68" s="85">
        <v>54772</v>
      </c>
      <c r="GG68" s="67"/>
      <c r="GH68" s="67"/>
      <c r="GI68" s="67"/>
      <c r="GJ68" s="67"/>
      <c r="GK68" s="40">
        <f t="shared" si="63"/>
        <v>0</v>
      </c>
      <c r="GM68" s="85">
        <v>54772</v>
      </c>
      <c r="GN68" s="67"/>
      <c r="GO68" s="67"/>
      <c r="GP68" s="67"/>
      <c r="GQ68" s="67"/>
      <c r="GR68" s="40">
        <f t="shared" si="64"/>
        <v>0</v>
      </c>
    </row>
    <row r="69" spans="6:200" x14ac:dyDescent="0.25">
      <c r="F69" s="85">
        <v>54969</v>
      </c>
      <c r="G69" s="85"/>
      <c r="H69" s="85">
        <v>54954</v>
      </c>
      <c r="I69" s="40">
        <f>SUM(Y68,Y69,AG68:AG69,AO68:AO69,AW68:AW69,BE68:BE69,BM68:BM69,BO68:BO69,BW68:BW69,CE68:CE69,CM68:CM69,CT68:CT69,DA68:DA69,DG68:DG69,DM68:DM69,DT68:DT69,DZ68:DZ69,EG68:EG69,EM68:EM69,ET68:ET69,FA68:FA69,FG68:FG69,FM68:FM69,FS68:FS69,FZ68:FZ69,GG68:GG69,GN68:GN69)</f>
        <v>303831263.55000001</v>
      </c>
      <c r="J69" s="40">
        <f>SUM(AA68,AA69,AI68:AI69,AQ68:AQ69,AY68:AY69,BG68:BG69,BQ68:BQ69,BY68:BY69,CG68:CG69,CO68:CO69,CV68:CV69,DC68:DC69,DI68:DI69,DO68:DO69,DV68:DV69,EB68:EB69,EI68:EI69,EO68:EO69,EV68:EV69,FC68:FC69,FI68:FI69,FO68:FO69,FU68:FU69,GB68:GB69,GI68:GI69,GP68:GP69)</f>
        <v>34840725</v>
      </c>
      <c r="K69" s="40">
        <f>SUM(AB68,AB69,BR68:BR69,BZ68:BZ69,CH68:CH69,CP68:CP69,CW68:CW69,DP68:DP69,EC68:EC69,EP68:EP69,EW68:EW69,FV68:FV69,GC68:GC69,GJ68:GJ69,GQ68:GQ69)</f>
        <v>43898910.299999997</v>
      </c>
      <c r="L69" s="40">
        <f>SUM(AC68,AC69,AS68:AS69,BA68:BA69,BI68:BI69,BS68:BS69,CA68:CA69,CI68:CI69)</f>
        <v>0</v>
      </c>
      <c r="M69" s="40">
        <f>SUM(I69:L69)</f>
        <v>382570898.85000002</v>
      </c>
      <c r="O69" s="85">
        <v>54969</v>
      </c>
      <c r="P69" s="85"/>
      <c r="Q69" s="85">
        <v>54954</v>
      </c>
      <c r="R69" s="40">
        <f t="shared" si="33"/>
        <v>135605000</v>
      </c>
      <c r="S69" s="40">
        <f t="shared" si="34"/>
        <v>15712350</v>
      </c>
      <c r="T69" s="40">
        <f t="shared" si="35"/>
        <v>0</v>
      </c>
      <c r="U69" s="40">
        <f t="shared" si="32"/>
        <v>0</v>
      </c>
      <c r="V69" s="40">
        <f t="shared" si="41"/>
        <v>151317350</v>
      </c>
      <c r="X69" s="85">
        <v>54954</v>
      </c>
      <c r="Y69" s="40">
        <v>11960000</v>
      </c>
      <c r="Z69" s="101">
        <v>0.04</v>
      </c>
      <c r="AA69" s="40">
        <v>4650700</v>
      </c>
      <c r="AB69" s="40">
        <v>0</v>
      </c>
      <c r="AC69" s="40"/>
      <c r="AD69" s="40">
        <f t="shared" si="3"/>
        <v>16610700</v>
      </c>
      <c r="AF69" s="85">
        <v>54954</v>
      </c>
      <c r="AG69" s="40"/>
      <c r="AH69" s="101"/>
      <c r="AI69" s="40">
        <f t="shared" si="38"/>
        <v>0</v>
      </c>
      <c r="AJ69" s="40">
        <v>0</v>
      </c>
      <c r="AK69" s="40"/>
      <c r="AL69" s="40">
        <f t="shared" si="42"/>
        <v>0</v>
      </c>
      <c r="AN69" s="85">
        <v>54954</v>
      </c>
      <c r="AO69" s="40">
        <v>0</v>
      </c>
      <c r="AP69" s="101"/>
      <c r="AQ69" s="40">
        <f t="shared" si="43"/>
        <v>0</v>
      </c>
      <c r="AR69" s="40">
        <v>0</v>
      </c>
      <c r="AS69" s="40"/>
      <c r="AT69" s="40">
        <f t="shared" si="44"/>
        <v>0</v>
      </c>
      <c r="AV69" s="85">
        <v>54954</v>
      </c>
      <c r="AW69" s="40">
        <v>0</v>
      </c>
      <c r="AX69" s="101"/>
      <c r="AY69" s="40">
        <f t="shared" si="7"/>
        <v>0</v>
      </c>
      <c r="AZ69" s="40">
        <v>0</v>
      </c>
      <c r="BA69" s="40"/>
      <c r="BB69" s="40">
        <f t="shared" si="45"/>
        <v>0</v>
      </c>
      <c r="BD69" s="85">
        <v>54954</v>
      </c>
      <c r="BE69" s="40">
        <v>0</v>
      </c>
      <c r="BF69" s="101"/>
      <c r="BG69" s="40">
        <f t="shared" si="39"/>
        <v>0</v>
      </c>
      <c r="BH69" s="40">
        <v>0</v>
      </c>
      <c r="BI69" s="40"/>
      <c r="BJ69" s="40">
        <f t="shared" si="46"/>
        <v>0</v>
      </c>
      <c r="BL69" s="85">
        <v>54954</v>
      </c>
      <c r="BM69" s="40">
        <v>36000000</v>
      </c>
      <c r="BN69" s="101">
        <v>0.05</v>
      </c>
      <c r="BO69" s="40">
        <v>87645000</v>
      </c>
      <c r="BP69" s="101">
        <v>0.04</v>
      </c>
      <c r="BQ69" s="40">
        <f t="shared" si="47"/>
        <v>2652900</v>
      </c>
      <c r="BR69" s="40"/>
      <c r="BS69" s="40"/>
      <c r="BT69" s="40">
        <f t="shared" si="48"/>
        <v>126297900</v>
      </c>
      <c r="BV69" s="85">
        <v>54954</v>
      </c>
      <c r="BW69" s="40"/>
      <c r="BX69" s="40"/>
      <c r="BY69" s="40"/>
      <c r="BZ69" s="40"/>
      <c r="CA69" s="40"/>
      <c r="CB69" s="40">
        <f t="shared" si="40"/>
        <v>0</v>
      </c>
      <c r="CD69" s="85">
        <v>54954</v>
      </c>
      <c r="CE69" s="40">
        <v>0</v>
      </c>
      <c r="CG69" s="40">
        <v>4750125</v>
      </c>
      <c r="CH69" s="40">
        <v>0</v>
      </c>
      <c r="CI69" s="40"/>
      <c r="CJ69" s="40">
        <f t="shared" si="49"/>
        <v>4750125</v>
      </c>
      <c r="CL69" s="85">
        <v>54954</v>
      </c>
      <c r="CM69" s="40">
        <v>0</v>
      </c>
      <c r="CN69" s="101"/>
      <c r="CO69" s="40">
        <v>0</v>
      </c>
      <c r="CP69" s="40">
        <v>0</v>
      </c>
      <c r="CQ69" s="40">
        <f t="shared" si="50"/>
        <v>0</v>
      </c>
      <c r="CS69" s="85">
        <v>54954</v>
      </c>
      <c r="CT69" s="40">
        <v>0</v>
      </c>
      <c r="CU69" s="40"/>
      <c r="CV69" s="40">
        <v>3425625</v>
      </c>
      <c r="CW69" s="40">
        <v>0</v>
      </c>
      <c r="CX69" s="40">
        <f t="shared" si="51"/>
        <v>3425625</v>
      </c>
      <c r="CZ69" s="85">
        <v>54954</v>
      </c>
      <c r="DA69" s="40">
        <v>0</v>
      </c>
      <c r="DB69" s="40"/>
      <c r="DC69" s="40">
        <v>233000</v>
      </c>
      <c r="DD69" s="40">
        <f t="shared" si="52"/>
        <v>233000</v>
      </c>
      <c r="DF69" s="85">
        <v>54954</v>
      </c>
      <c r="DJ69" s="40">
        <f t="shared" si="53"/>
        <v>0</v>
      </c>
      <c r="DL69" s="85">
        <v>54954</v>
      </c>
      <c r="DM69" s="40">
        <v>0</v>
      </c>
      <c r="DN69" s="87">
        <v>0</v>
      </c>
      <c r="DO69" s="40"/>
      <c r="DP69" s="40">
        <v>0</v>
      </c>
      <c r="DQ69" s="40">
        <f t="shared" ref="DQ69:DQ89" si="65">SUM(DM69,DO69,DP69)</f>
        <v>0</v>
      </c>
      <c r="DS69" s="85">
        <v>54954</v>
      </c>
      <c r="DU69" s="87"/>
      <c r="DY69" s="85">
        <v>54954</v>
      </c>
      <c r="DZ69" s="40"/>
      <c r="EA69" s="122"/>
      <c r="EB69" s="40"/>
      <c r="EC69" s="40"/>
      <c r="ED69" s="40">
        <f t="shared" si="55"/>
        <v>0</v>
      </c>
      <c r="EF69" s="85">
        <v>54954</v>
      </c>
      <c r="EG69" s="40"/>
      <c r="EH69" s="87"/>
      <c r="EI69" s="40"/>
      <c r="EJ69" s="40">
        <f t="shared" si="56"/>
        <v>0</v>
      </c>
      <c r="EL69" s="85">
        <v>54954</v>
      </c>
      <c r="EN69" s="87"/>
      <c r="EQ69" s="40">
        <f t="shared" si="57"/>
        <v>0</v>
      </c>
      <c r="ES69" s="85">
        <v>54954</v>
      </c>
      <c r="EU69" s="87"/>
      <c r="EX69" s="40">
        <f t="shared" ref="EX69:EX89" si="66">SUM(ET69,EV69,EW69)</f>
        <v>0</v>
      </c>
      <c r="EZ69" s="85">
        <v>54954</v>
      </c>
      <c r="FF69" s="85">
        <v>54954</v>
      </c>
      <c r="FJ69" s="40">
        <f t="shared" si="59"/>
        <v>0</v>
      </c>
      <c r="FL69" s="85">
        <v>54954</v>
      </c>
      <c r="FP69" s="40">
        <f t="shared" si="60"/>
        <v>0</v>
      </c>
      <c r="FR69" s="85">
        <v>54954</v>
      </c>
      <c r="FW69" s="40">
        <f t="shared" si="61"/>
        <v>0</v>
      </c>
      <c r="FY69" s="85">
        <v>54954</v>
      </c>
      <c r="GD69" s="40">
        <f t="shared" si="62"/>
        <v>0</v>
      </c>
      <c r="GF69" s="85">
        <v>54954</v>
      </c>
      <c r="GG69" s="67"/>
      <c r="GH69" s="67"/>
      <c r="GI69" s="67"/>
      <c r="GJ69" s="67"/>
      <c r="GK69" s="40">
        <f t="shared" si="63"/>
        <v>0</v>
      </c>
      <c r="GM69" s="85">
        <v>54954</v>
      </c>
      <c r="GN69" s="67"/>
      <c r="GO69" s="67"/>
      <c r="GP69" s="67"/>
      <c r="GQ69" s="67"/>
      <c r="GR69" s="40">
        <f t="shared" si="64"/>
        <v>0</v>
      </c>
    </row>
    <row r="70" spans="6:200" x14ac:dyDescent="0.25">
      <c r="F70" s="85">
        <v>55153</v>
      </c>
      <c r="G70" s="85"/>
      <c r="H70" s="85">
        <v>55137</v>
      </c>
      <c r="I70" s="40"/>
      <c r="O70" s="85">
        <v>55153</v>
      </c>
      <c r="P70" s="85"/>
      <c r="Q70" s="85">
        <v>55137</v>
      </c>
      <c r="R70" s="40">
        <f t="shared" si="33"/>
        <v>47170714.299999997</v>
      </c>
      <c r="S70" s="40">
        <f t="shared" si="34"/>
        <v>12820250</v>
      </c>
      <c r="T70" s="40">
        <f t="shared" si="35"/>
        <v>170938578.30000001</v>
      </c>
      <c r="U70" s="40">
        <f t="shared" si="32"/>
        <v>0</v>
      </c>
      <c r="V70" s="40">
        <f t="shared" si="41"/>
        <v>230929542.60000002</v>
      </c>
      <c r="X70" s="85">
        <v>55137</v>
      </c>
      <c r="Y70" s="40">
        <v>21525000</v>
      </c>
      <c r="Z70" s="101">
        <v>0.04</v>
      </c>
      <c r="AA70" s="40">
        <v>4411500</v>
      </c>
      <c r="AB70" s="40">
        <v>0</v>
      </c>
      <c r="AC70" s="40"/>
      <c r="AD70" s="40">
        <f t="shared" si="3"/>
        <v>25936500</v>
      </c>
      <c r="AF70" s="85">
        <v>55137</v>
      </c>
      <c r="AG70" s="40"/>
      <c r="AH70" s="101"/>
      <c r="AI70" s="40">
        <f t="shared" si="38"/>
        <v>0</v>
      </c>
      <c r="AJ70" s="40">
        <v>0</v>
      </c>
      <c r="AK70" s="40"/>
      <c r="AL70" s="40">
        <f t="shared" si="42"/>
        <v>0</v>
      </c>
      <c r="AN70" s="85">
        <v>55137</v>
      </c>
      <c r="AO70" s="40">
        <v>0</v>
      </c>
      <c r="AP70" s="101"/>
      <c r="AQ70" s="40">
        <f t="shared" si="43"/>
        <v>0</v>
      </c>
      <c r="AR70" s="40">
        <v>0</v>
      </c>
      <c r="AS70" s="40"/>
      <c r="AT70" s="40">
        <f t="shared" si="44"/>
        <v>0</v>
      </c>
      <c r="AV70" s="85">
        <v>55137</v>
      </c>
      <c r="AW70" s="40">
        <v>0</v>
      </c>
      <c r="AX70" s="101"/>
      <c r="AY70" s="40">
        <f t="shared" si="7"/>
        <v>0</v>
      </c>
      <c r="AZ70" s="40">
        <v>0</v>
      </c>
      <c r="BA70" s="40"/>
      <c r="BB70" s="40">
        <f t="shared" si="45"/>
        <v>0</v>
      </c>
      <c r="BD70" s="85">
        <v>55137</v>
      </c>
      <c r="BE70" s="40">
        <v>0</v>
      </c>
      <c r="BF70" s="101"/>
      <c r="BG70" s="40">
        <f t="shared" si="39"/>
        <v>0</v>
      </c>
      <c r="BH70" s="40">
        <v>0</v>
      </c>
      <c r="BI70" s="40"/>
      <c r="BJ70" s="40">
        <f t="shared" si="46"/>
        <v>0</v>
      </c>
      <c r="BL70" s="85">
        <v>55137</v>
      </c>
      <c r="BM70" s="40"/>
      <c r="BN70" s="101"/>
      <c r="BO70" s="40"/>
      <c r="BP70" s="101"/>
      <c r="BQ70" s="40">
        <f t="shared" ref="BQ70:BQ89" si="67">(BM70*BN70/2)+(BO70*BP70/2)+BQ71</f>
        <v>0</v>
      </c>
      <c r="BR70" s="40"/>
      <c r="BS70" s="40"/>
      <c r="BT70" s="40">
        <f t="shared" si="48"/>
        <v>0</v>
      </c>
      <c r="BV70" s="85">
        <v>55137</v>
      </c>
      <c r="BW70" s="40"/>
      <c r="BX70" s="40"/>
      <c r="BY70" s="40"/>
      <c r="BZ70" s="40"/>
      <c r="CA70" s="40"/>
      <c r="CB70" s="40">
        <f t="shared" si="40"/>
        <v>0</v>
      </c>
      <c r="CD70" s="85">
        <v>55137</v>
      </c>
      <c r="CE70" s="40">
        <v>0</v>
      </c>
      <c r="CG70" s="40">
        <v>4750125</v>
      </c>
      <c r="CH70" s="40">
        <v>0</v>
      </c>
      <c r="CI70" s="40"/>
      <c r="CJ70" s="40">
        <f t="shared" si="49"/>
        <v>4750125</v>
      </c>
      <c r="CL70" s="85">
        <v>55137</v>
      </c>
      <c r="CM70" s="40">
        <v>612114.30000000005</v>
      </c>
      <c r="CN70" s="101">
        <v>5.2499999999999998E-2</v>
      </c>
      <c r="CO70" s="40">
        <v>0</v>
      </c>
      <c r="CP70" s="40">
        <v>2777178.3</v>
      </c>
      <c r="CQ70" s="40">
        <f t="shared" si="50"/>
        <v>3389292.5999999996</v>
      </c>
      <c r="CS70" s="85">
        <v>55137</v>
      </c>
      <c r="CT70" s="40">
        <v>0</v>
      </c>
      <c r="CU70" s="40"/>
      <c r="CV70" s="40">
        <v>3425625</v>
      </c>
      <c r="CW70" s="40">
        <v>0</v>
      </c>
      <c r="CX70" s="40">
        <f t="shared" si="51"/>
        <v>3425625</v>
      </c>
      <c r="CZ70" s="85">
        <v>55137</v>
      </c>
      <c r="DA70" s="40">
        <v>3195000</v>
      </c>
      <c r="DB70" s="101">
        <v>0.05</v>
      </c>
      <c r="DC70" s="40">
        <v>233000</v>
      </c>
      <c r="DD70" s="40">
        <f t="shared" si="52"/>
        <v>3428000</v>
      </c>
      <c r="DF70" s="85">
        <v>55137</v>
      </c>
      <c r="DJ70" s="40">
        <f t="shared" si="53"/>
        <v>0</v>
      </c>
      <c r="DL70" s="85">
        <v>55137</v>
      </c>
      <c r="DM70" s="40">
        <v>21838600</v>
      </c>
      <c r="DN70" s="87">
        <v>5.7099999999999998E-2</v>
      </c>
      <c r="DO70" s="40"/>
      <c r="DP70" s="40">
        <v>168161400</v>
      </c>
      <c r="DQ70" s="40">
        <f t="shared" si="65"/>
        <v>190000000</v>
      </c>
      <c r="DS70" s="85">
        <v>55137</v>
      </c>
      <c r="DY70" s="85">
        <v>55137</v>
      </c>
      <c r="DZ70" s="40"/>
      <c r="EA70" s="40"/>
      <c r="ED70" s="40">
        <f t="shared" si="55"/>
        <v>0</v>
      </c>
      <c r="EF70" s="85">
        <v>55137</v>
      </c>
      <c r="EJ70" s="40">
        <f t="shared" si="56"/>
        <v>0</v>
      </c>
      <c r="EL70" s="85">
        <v>55137</v>
      </c>
      <c r="EQ70" s="40">
        <f t="shared" si="57"/>
        <v>0</v>
      </c>
      <c r="ES70" s="85">
        <v>55137</v>
      </c>
      <c r="EX70" s="40">
        <f t="shared" si="66"/>
        <v>0</v>
      </c>
      <c r="EZ70" s="85">
        <v>55137</v>
      </c>
      <c r="FF70" s="85">
        <v>55137</v>
      </c>
      <c r="FJ70" s="40">
        <f t="shared" si="59"/>
        <v>0</v>
      </c>
      <c r="FL70" s="85">
        <v>55137</v>
      </c>
      <c r="FP70" s="40">
        <f t="shared" si="60"/>
        <v>0</v>
      </c>
      <c r="FR70" s="85">
        <v>55137</v>
      </c>
      <c r="FW70" s="40">
        <f t="shared" si="61"/>
        <v>0</v>
      </c>
      <c r="FY70" s="85">
        <v>55137</v>
      </c>
      <c r="GD70" s="40">
        <f t="shared" si="62"/>
        <v>0</v>
      </c>
      <c r="GF70" s="85">
        <v>55137</v>
      </c>
      <c r="GK70" s="40">
        <f t="shared" si="63"/>
        <v>0</v>
      </c>
      <c r="GM70" s="85">
        <v>55137</v>
      </c>
      <c r="GN70" s="67"/>
      <c r="GO70" s="67"/>
      <c r="GP70" s="67"/>
      <c r="GQ70" s="67"/>
      <c r="GR70" s="40">
        <f t="shared" si="64"/>
        <v>0</v>
      </c>
    </row>
    <row r="71" spans="6:200" x14ac:dyDescent="0.25">
      <c r="F71" s="85">
        <v>55334</v>
      </c>
      <c r="G71" s="85"/>
      <c r="H71" s="85">
        <v>55319</v>
      </c>
      <c r="I71" s="40">
        <f>SUM(Y70,Y71,AG70:AG71,AO70:AO71,AW70:AW71,BE70:BE71,BM70:BM71,BO70:BO71,BW70:BW71,CE70:CE71,CM70:CM71,CT70:CT71,DA70:DA71,DG70:DG71,DM70:DM71,DT70:DT71,DZ70:DZ71,EG70:EG71,EM70:EM71,ET70:ET71,FA70:FA71,FG70:FG71,FM70:FM71,FS70:FS71,FZ70:FZ71,GG70:GG71,GN70:GN71)</f>
        <v>75318853.649999991</v>
      </c>
      <c r="J71" s="40">
        <f>SUM(AA70,AA71,AI70:AI71,AQ70:AQ71,AY70:AY71,BG70:BG71,BQ70:BQ71,BY70:BY71,CG70:CG71,CO70:CO71,CV70:CV71,DC70:DC71,DI70:DI71,DO70:DO71,DV70:DV71,EB70:EB71,EI70:EI71,EO70:EO71,EV70:EV71,FC70:FC71,FI70:FI71,FO70:FO71,FU70:FU71,GB70:GB71,GI70:GI71,GP70:GP71)</f>
        <v>25130125</v>
      </c>
      <c r="K71" s="40">
        <f>SUM(AB70,AB71,BR70:BR71,BZ70:BZ71,CH70:CH71,CP70:CP71,CW70:CW71,DP70:DP71,EC70:EC71,EP70:EP71,EW70:EW71,FV70:FV71,GC70:GC71,GJ70:GJ71,GQ70:GQ71)</f>
        <v>282121667.85000002</v>
      </c>
      <c r="L71" s="40">
        <f>SUM(AC70,AC71,AS70:AS71,BA70:BA71,BI70:BI71,BS70:BS71,CA70:CA71,CI70:CI71)</f>
        <v>0</v>
      </c>
      <c r="M71" s="40">
        <f>SUM(I71:L71)</f>
        <v>382570646.5</v>
      </c>
      <c r="O71" s="85">
        <v>55334</v>
      </c>
      <c r="P71" s="85"/>
      <c r="Q71" s="85">
        <v>55319</v>
      </c>
      <c r="R71" s="40">
        <f t="shared" si="33"/>
        <v>28148139.350000001</v>
      </c>
      <c r="S71" s="40">
        <f t="shared" si="34"/>
        <v>12309875</v>
      </c>
      <c r="T71" s="40">
        <f t="shared" si="35"/>
        <v>111183089.55</v>
      </c>
      <c r="U71" s="40">
        <f t="shared" si="32"/>
        <v>0</v>
      </c>
      <c r="V71" s="40">
        <f t="shared" si="41"/>
        <v>151641103.90000001</v>
      </c>
      <c r="X71" s="85">
        <v>55319</v>
      </c>
      <c r="Y71" s="40">
        <v>12930000</v>
      </c>
      <c r="Z71" s="101">
        <v>0.04</v>
      </c>
      <c r="AA71" s="40">
        <v>3981000</v>
      </c>
      <c r="AB71" s="40">
        <v>0</v>
      </c>
      <c r="AC71" s="40"/>
      <c r="AD71" s="40">
        <f t="shared" si="3"/>
        <v>16911000</v>
      </c>
      <c r="AF71" s="85">
        <v>55319</v>
      </c>
      <c r="AG71" s="40"/>
      <c r="AH71" s="101"/>
      <c r="AI71" s="40">
        <f t="shared" si="38"/>
        <v>0</v>
      </c>
      <c r="AJ71" s="40">
        <v>0</v>
      </c>
      <c r="AK71" s="40"/>
      <c r="AL71" s="40">
        <f t="shared" si="42"/>
        <v>0</v>
      </c>
      <c r="AN71" s="85">
        <v>55319</v>
      </c>
      <c r="AO71" s="40">
        <v>0</v>
      </c>
      <c r="AP71" s="101"/>
      <c r="AQ71" s="40">
        <f t="shared" si="43"/>
        <v>0</v>
      </c>
      <c r="AR71" s="40">
        <v>0</v>
      </c>
      <c r="AS71" s="40"/>
      <c r="AT71" s="40">
        <f t="shared" si="44"/>
        <v>0</v>
      </c>
      <c r="AV71" s="85">
        <v>55319</v>
      </c>
      <c r="AW71" s="40">
        <v>0</v>
      </c>
      <c r="AX71" s="101"/>
      <c r="AY71" s="40">
        <f t="shared" si="7"/>
        <v>0</v>
      </c>
      <c r="AZ71" s="40">
        <v>0</v>
      </c>
      <c r="BA71" s="40"/>
      <c r="BB71" s="40">
        <f t="shared" si="45"/>
        <v>0</v>
      </c>
      <c r="BD71" s="85">
        <v>55319</v>
      </c>
      <c r="BE71" s="40">
        <v>0</v>
      </c>
      <c r="BF71" s="101"/>
      <c r="BG71" s="40">
        <f t="shared" si="39"/>
        <v>0</v>
      </c>
      <c r="BH71" s="40">
        <v>0</v>
      </c>
      <c r="BI71" s="40"/>
      <c r="BJ71" s="40">
        <f t="shared" si="46"/>
        <v>0</v>
      </c>
      <c r="BL71" s="85">
        <v>55319</v>
      </c>
      <c r="BM71" s="40"/>
      <c r="BN71" s="101"/>
      <c r="BO71" s="40"/>
      <c r="BP71" s="101"/>
      <c r="BQ71" s="40">
        <f t="shared" si="67"/>
        <v>0</v>
      </c>
      <c r="BR71" s="40"/>
      <c r="BS71" s="40"/>
      <c r="BT71" s="40">
        <f t="shared" si="48"/>
        <v>0</v>
      </c>
      <c r="BV71" s="85">
        <v>55319</v>
      </c>
      <c r="BW71" s="40"/>
      <c r="BX71" s="40"/>
      <c r="BY71" s="40"/>
      <c r="BZ71" s="40"/>
      <c r="CA71" s="40"/>
      <c r="CB71" s="40">
        <f t="shared" si="40"/>
        <v>0</v>
      </c>
      <c r="CD71" s="85">
        <v>55319</v>
      </c>
      <c r="CE71" s="40">
        <v>0</v>
      </c>
      <c r="CG71" s="40">
        <v>4750125</v>
      </c>
      <c r="CH71" s="40">
        <v>0</v>
      </c>
      <c r="CI71" s="40"/>
      <c r="CJ71" s="40">
        <f t="shared" si="49"/>
        <v>4750125</v>
      </c>
      <c r="CL71" s="85">
        <v>55319</v>
      </c>
      <c r="CM71" s="40">
        <v>0</v>
      </c>
      <c r="CN71" s="101"/>
      <c r="CO71" s="40">
        <v>0</v>
      </c>
      <c r="CP71" s="40">
        <v>0</v>
      </c>
      <c r="CQ71" s="40">
        <f t="shared" si="50"/>
        <v>0</v>
      </c>
      <c r="CS71" s="85">
        <v>55319</v>
      </c>
      <c r="CT71" s="40">
        <v>0</v>
      </c>
      <c r="CU71" s="40"/>
      <c r="CV71" s="40">
        <v>3425625</v>
      </c>
      <c r="CW71" s="40">
        <v>0</v>
      </c>
      <c r="CX71" s="40">
        <f t="shared" si="51"/>
        <v>3425625</v>
      </c>
      <c r="CZ71" s="85">
        <v>55319</v>
      </c>
      <c r="DA71" s="40">
        <v>1350000</v>
      </c>
      <c r="DB71" s="101">
        <v>0.05</v>
      </c>
      <c r="DC71" s="40">
        <v>153125</v>
      </c>
      <c r="DD71" s="40">
        <f t="shared" si="52"/>
        <v>1503125</v>
      </c>
      <c r="DF71" s="85">
        <v>55319</v>
      </c>
      <c r="DJ71" s="40">
        <f t="shared" si="53"/>
        <v>0</v>
      </c>
      <c r="DL71" s="85">
        <v>55319</v>
      </c>
      <c r="DM71" s="40">
        <v>13868139.35</v>
      </c>
      <c r="DN71" s="87">
        <v>5.7299999999999997E-2</v>
      </c>
      <c r="DO71" s="40"/>
      <c r="DP71" s="40">
        <v>111183089.55</v>
      </c>
      <c r="DQ71" s="40">
        <f t="shared" si="65"/>
        <v>125051228.89999999</v>
      </c>
      <c r="DS71" s="85">
        <v>55319</v>
      </c>
      <c r="DY71" s="85">
        <v>55319</v>
      </c>
      <c r="DZ71" s="40"/>
      <c r="EA71" s="40"/>
      <c r="ED71" s="40">
        <f t="shared" si="55"/>
        <v>0</v>
      </c>
      <c r="EF71" s="85">
        <v>55319</v>
      </c>
      <c r="EJ71" s="40">
        <f t="shared" si="56"/>
        <v>0</v>
      </c>
      <c r="EL71" s="85">
        <v>55319</v>
      </c>
      <c r="EQ71" s="40">
        <f t="shared" si="57"/>
        <v>0</v>
      </c>
      <c r="ES71" s="85">
        <v>55319</v>
      </c>
      <c r="EX71" s="40">
        <f t="shared" si="66"/>
        <v>0</v>
      </c>
      <c r="EZ71" s="85">
        <v>55319</v>
      </c>
      <c r="FF71" s="85">
        <v>55319</v>
      </c>
      <c r="FJ71" s="40">
        <f t="shared" si="59"/>
        <v>0</v>
      </c>
      <c r="FL71" s="85">
        <v>55319</v>
      </c>
      <c r="FP71" s="40">
        <f t="shared" si="60"/>
        <v>0</v>
      </c>
      <c r="FR71" s="85">
        <v>55319</v>
      </c>
      <c r="FW71" s="40">
        <f t="shared" si="61"/>
        <v>0</v>
      </c>
      <c r="FY71" s="85">
        <v>55319</v>
      </c>
      <c r="GD71" s="40">
        <f t="shared" si="62"/>
        <v>0</v>
      </c>
      <c r="GF71" s="85">
        <v>55319</v>
      </c>
      <c r="GK71" s="40">
        <f t="shared" si="63"/>
        <v>0</v>
      </c>
      <c r="GM71" s="85">
        <v>55319</v>
      </c>
      <c r="GR71" s="40">
        <f t="shared" si="64"/>
        <v>0</v>
      </c>
    </row>
    <row r="72" spans="6:200" x14ac:dyDescent="0.25">
      <c r="F72" s="85">
        <v>55518</v>
      </c>
      <c r="G72" s="85"/>
      <c r="H72" s="85">
        <v>55502</v>
      </c>
      <c r="I72" s="40"/>
      <c r="O72" s="85">
        <v>55518</v>
      </c>
      <c r="P72" s="85"/>
      <c r="Q72" s="85">
        <v>55502</v>
      </c>
      <c r="R72" s="40">
        <f t="shared" si="33"/>
        <v>68323118.25</v>
      </c>
      <c r="S72" s="40">
        <f t="shared" si="34"/>
        <v>12017525</v>
      </c>
      <c r="T72" s="40">
        <f t="shared" si="35"/>
        <v>150258121.25</v>
      </c>
      <c r="U72" s="40">
        <f t="shared" si="32"/>
        <v>0</v>
      </c>
      <c r="V72" s="40">
        <f t="shared" si="41"/>
        <v>230598764.5</v>
      </c>
      <c r="X72" s="85">
        <v>55502</v>
      </c>
      <c r="Y72" s="40">
        <v>46890000</v>
      </c>
      <c r="Z72" s="101">
        <v>0.04</v>
      </c>
      <c r="AA72" s="40">
        <v>3722400</v>
      </c>
      <c r="AB72" s="40">
        <v>0</v>
      </c>
      <c r="AC72" s="40"/>
      <c r="AD72" s="40">
        <f t="shared" si="3"/>
        <v>50612400</v>
      </c>
      <c r="AF72" s="85">
        <v>55502</v>
      </c>
      <c r="AG72" s="40"/>
      <c r="AH72" s="101"/>
      <c r="AI72" s="40">
        <f t="shared" ref="AI72:AI88" si="68">AG72*AH72/2+AI73</f>
        <v>0</v>
      </c>
      <c r="AJ72" s="40">
        <v>0</v>
      </c>
      <c r="AK72" s="40"/>
      <c r="AL72" s="40">
        <f t="shared" si="42"/>
        <v>0</v>
      </c>
      <c r="AN72" s="85">
        <v>55502</v>
      </c>
      <c r="AO72" s="40">
        <v>0</v>
      </c>
      <c r="AP72" s="101"/>
      <c r="AQ72" s="40">
        <f t="shared" ref="AQ72:AQ88" si="69">AO72*AP72/2+AQ73</f>
        <v>0</v>
      </c>
      <c r="AR72" s="40">
        <v>0</v>
      </c>
      <c r="AS72" s="40"/>
      <c r="AT72" s="40">
        <f t="shared" si="44"/>
        <v>0</v>
      </c>
      <c r="AV72" s="85">
        <v>55502</v>
      </c>
      <c r="AW72" s="40">
        <v>0</v>
      </c>
      <c r="AX72" s="101"/>
      <c r="AY72" s="40">
        <f t="shared" si="7"/>
        <v>0</v>
      </c>
      <c r="AZ72" s="40">
        <v>0</v>
      </c>
      <c r="BA72" s="40"/>
      <c r="BB72" s="40">
        <f t="shared" si="45"/>
        <v>0</v>
      </c>
      <c r="BD72" s="85">
        <v>55502</v>
      </c>
      <c r="BE72" s="40">
        <v>0</v>
      </c>
      <c r="BF72" s="101"/>
      <c r="BG72" s="40">
        <f t="shared" si="39"/>
        <v>0</v>
      </c>
      <c r="BH72" s="40">
        <v>0</v>
      </c>
      <c r="BI72" s="40"/>
      <c r="BJ72" s="40">
        <f t="shared" si="46"/>
        <v>0</v>
      </c>
      <c r="BL72" s="85">
        <v>55502</v>
      </c>
      <c r="BM72" s="40"/>
      <c r="BN72" s="101"/>
      <c r="BO72" s="40"/>
      <c r="BP72" s="101"/>
      <c r="BQ72" s="40">
        <f t="shared" si="67"/>
        <v>0</v>
      </c>
      <c r="BR72" s="40"/>
      <c r="BS72" s="40"/>
      <c r="BT72" s="40">
        <f t="shared" si="48"/>
        <v>0</v>
      </c>
      <c r="BV72" s="85">
        <v>55502</v>
      </c>
      <c r="BW72" s="40"/>
      <c r="BX72" s="40"/>
      <c r="BY72" s="40"/>
      <c r="BZ72" s="40"/>
      <c r="CA72" s="40"/>
      <c r="CB72" s="40">
        <f t="shared" ref="CB72:CB89" si="70">SUM(BW72,BY72,BZ72,CA72)</f>
        <v>0</v>
      </c>
      <c r="CD72" s="85">
        <v>55502</v>
      </c>
      <c r="CE72" s="40">
        <v>0</v>
      </c>
      <c r="CG72" s="40">
        <v>4750125</v>
      </c>
      <c r="CH72" s="40">
        <v>0</v>
      </c>
      <c r="CI72" s="40"/>
      <c r="CJ72" s="40">
        <f t="shared" si="49"/>
        <v>4750125</v>
      </c>
      <c r="CL72" s="85">
        <v>55502</v>
      </c>
      <c r="CM72" s="40">
        <v>579820.5</v>
      </c>
      <c r="CN72" s="101">
        <v>5.2499999999999998E-2</v>
      </c>
      <c r="CO72" s="40">
        <v>0</v>
      </c>
      <c r="CP72" s="40">
        <v>2801419</v>
      </c>
      <c r="CQ72" s="40">
        <f t="shared" si="50"/>
        <v>3381239.5</v>
      </c>
      <c r="CS72" s="85">
        <v>55502</v>
      </c>
      <c r="CT72" s="40">
        <v>0</v>
      </c>
      <c r="CU72" s="40"/>
      <c r="CV72" s="40">
        <v>3425625</v>
      </c>
      <c r="CW72" s="40">
        <v>0</v>
      </c>
      <c r="CX72" s="40">
        <f t="shared" si="51"/>
        <v>3425625</v>
      </c>
      <c r="CZ72" s="85">
        <v>55502</v>
      </c>
      <c r="DA72" s="40">
        <v>3035000</v>
      </c>
      <c r="DB72" s="101">
        <v>0.05</v>
      </c>
      <c r="DC72" s="40">
        <v>119375</v>
      </c>
      <c r="DD72" s="40">
        <f t="shared" si="52"/>
        <v>3154375</v>
      </c>
      <c r="DF72" s="85">
        <v>55502</v>
      </c>
      <c r="DJ72" s="40">
        <f t="shared" si="53"/>
        <v>0</v>
      </c>
      <c r="DL72" s="85">
        <v>55502</v>
      </c>
      <c r="DM72" s="40">
        <f>42818297.75-25000000</f>
        <v>17818297.75</v>
      </c>
      <c r="DN72" s="122" t="s">
        <v>91</v>
      </c>
      <c r="DO72" s="40"/>
      <c r="DP72" s="40">
        <v>147456702.25</v>
      </c>
      <c r="DQ72" s="40">
        <f t="shared" si="65"/>
        <v>165275000</v>
      </c>
      <c r="DS72" s="85">
        <v>55502</v>
      </c>
      <c r="DY72" s="85">
        <v>55502</v>
      </c>
      <c r="DZ72" s="40"/>
      <c r="EA72" s="40"/>
      <c r="ED72" s="40">
        <f t="shared" si="55"/>
        <v>0</v>
      </c>
      <c r="EF72" s="85">
        <v>55502</v>
      </c>
      <c r="EJ72" s="40">
        <f t="shared" si="56"/>
        <v>0</v>
      </c>
      <c r="EL72" s="85">
        <v>55502</v>
      </c>
      <c r="EQ72" s="40">
        <f t="shared" si="57"/>
        <v>0</v>
      </c>
      <c r="ES72" s="85">
        <v>55502</v>
      </c>
      <c r="EX72" s="40">
        <f t="shared" si="66"/>
        <v>0</v>
      </c>
      <c r="EZ72" s="85">
        <v>55502</v>
      </c>
      <c r="FF72" s="85">
        <v>55502</v>
      </c>
      <c r="FJ72" s="40">
        <f t="shared" si="59"/>
        <v>0</v>
      </c>
      <c r="FL72" s="85">
        <v>55502</v>
      </c>
      <c r="FP72" s="40">
        <f t="shared" si="60"/>
        <v>0</v>
      </c>
      <c r="FR72" s="85">
        <v>55502</v>
      </c>
      <c r="FW72" s="40">
        <f t="shared" si="61"/>
        <v>0</v>
      </c>
      <c r="FY72" s="85">
        <v>55502</v>
      </c>
      <c r="GD72" s="40">
        <f t="shared" si="62"/>
        <v>0</v>
      </c>
      <c r="GF72" s="85">
        <v>55502</v>
      </c>
      <c r="GK72" s="40">
        <f t="shared" si="63"/>
        <v>0</v>
      </c>
      <c r="GM72" s="85">
        <v>55502</v>
      </c>
      <c r="GR72" s="40">
        <f t="shared" si="64"/>
        <v>0</v>
      </c>
    </row>
    <row r="73" spans="6:200" x14ac:dyDescent="0.25">
      <c r="F73" s="85">
        <v>55700</v>
      </c>
      <c r="G73" s="85"/>
      <c r="H73" s="85">
        <v>55685</v>
      </c>
      <c r="I73" s="40">
        <f>SUM(Y72,Y73,AG72:AG73,AO72:AO73,AW72:AW73,BE72:BE73,BM72:BM73,BO72:BO73,BW72:BW73,CE72:CE73,CM72:CM73,CT72:CT73,DA72:DA73,DG72:DG73,DM72:DM73,DT72:DT73,DZ72:DZ73,EG72:EG73,EM72:EM73,ET72:ET73,FA72:FA73,FG72:FG73,FM72:FM73,FS72:FS73,FZ72:FZ73,GG72:GG73,GN72:GN73)</f>
        <v>209293118.25</v>
      </c>
      <c r="J73" s="40">
        <f>SUM(AA72,AA73,AI72:AI73,AQ72:AQ73,AY72:AY73,BG72:BG73,BQ72:BQ73,BY72:BY73,CG72:CG73,CO72:CO73,CV72:CV73,DC72:DC73,DI72:DI73,DO72:DO73,DV72:DV73,EB72:EB73,EI72:EI73,EO72:EO73,EV72:EV73,FC72:FC73,FI72:FI73,FO72:FO73,FU72:FU73,GB72:GB73,GI72:GI73,GP72:GP73)</f>
        <v>23021375</v>
      </c>
      <c r="K73" s="40">
        <f>SUM(AB72,AB73,BR72:BR73,BZ72:BZ73,CH72:CH73,CP72:CP73,CW72:CW73,DP72:DP73,EC72:EC73,EP72:EP73,EW72:EW73,FV72:FV73,GC72:GC73,GJ72:GJ73,GQ72:GQ73)</f>
        <v>150258121.25</v>
      </c>
      <c r="L73" s="40">
        <f>SUM(AC72,AC73,AS72:AS73,BA72:BA73,BI72:BI73,BS72:BS73,CA72:CA73,CI72:CI73)</f>
        <v>0</v>
      </c>
      <c r="M73" s="40">
        <f>SUM(I73:L73)</f>
        <v>382572614.5</v>
      </c>
      <c r="O73" s="85">
        <v>55700</v>
      </c>
      <c r="P73" s="85"/>
      <c r="Q73" s="85">
        <v>55685</v>
      </c>
      <c r="R73" s="40">
        <f t="shared" si="33"/>
        <v>140970000</v>
      </c>
      <c r="S73" s="40">
        <f t="shared" si="34"/>
        <v>11003850</v>
      </c>
      <c r="T73" s="40">
        <f t="shared" si="35"/>
        <v>0</v>
      </c>
      <c r="U73" s="40">
        <f t="shared" si="32"/>
        <v>0</v>
      </c>
      <c r="V73" s="40">
        <f t="shared" si="41"/>
        <v>151973850</v>
      </c>
      <c r="X73" s="85">
        <v>55685</v>
      </c>
      <c r="Y73" s="40">
        <v>139230000</v>
      </c>
      <c r="Z73" s="101">
        <v>0.04</v>
      </c>
      <c r="AA73" s="40">
        <f>(Y73*Z73)/2+AA74</f>
        <v>2784600</v>
      </c>
      <c r="AB73" s="40">
        <v>0</v>
      </c>
      <c r="AC73" s="40"/>
      <c r="AD73" s="40">
        <f t="shared" si="3"/>
        <v>142014600</v>
      </c>
      <c r="AF73" s="85">
        <v>55685</v>
      </c>
      <c r="AG73" s="40"/>
      <c r="AH73" s="101"/>
      <c r="AI73" s="40">
        <f t="shared" si="68"/>
        <v>0</v>
      </c>
      <c r="AJ73" s="40">
        <v>0</v>
      </c>
      <c r="AK73" s="40"/>
      <c r="AL73" s="40">
        <f t="shared" ref="AL73:AL89" si="71">SUM(AG73,AI73,AJ73,AK73)</f>
        <v>0</v>
      </c>
      <c r="AN73" s="85">
        <v>55685</v>
      </c>
      <c r="AO73" s="40">
        <v>0</v>
      </c>
      <c r="AP73" s="101"/>
      <c r="AQ73" s="40">
        <f t="shared" si="69"/>
        <v>0</v>
      </c>
      <c r="AR73" s="40">
        <v>0</v>
      </c>
      <c r="AS73" s="40"/>
      <c r="AT73" s="40">
        <f t="shared" ref="AT73:AT89" si="72">SUM(AO73,AQ73,AR73,AS73)</f>
        <v>0</v>
      </c>
      <c r="AV73" s="85">
        <v>55685</v>
      </c>
      <c r="AW73" s="40">
        <v>0</v>
      </c>
      <c r="AX73" s="101"/>
      <c r="AY73" s="40">
        <f t="shared" si="7"/>
        <v>0</v>
      </c>
      <c r="AZ73" s="40">
        <v>0</v>
      </c>
      <c r="BA73" s="40"/>
      <c r="BB73" s="40">
        <f t="shared" si="45"/>
        <v>0</v>
      </c>
      <c r="BD73" s="85">
        <v>55685</v>
      </c>
      <c r="BE73" s="40">
        <v>0</v>
      </c>
      <c r="BF73" s="101"/>
      <c r="BG73" s="40">
        <f t="shared" si="39"/>
        <v>0</v>
      </c>
      <c r="BH73" s="40">
        <v>0</v>
      </c>
      <c r="BI73" s="40"/>
      <c r="BJ73" s="40">
        <f t="shared" si="46"/>
        <v>0</v>
      </c>
      <c r="BL73" s="85">
        <v>55685</v>
      </c>
      <c r="BM73" s="40"/>
      <c r="BN73" s="101"/>
      <c r="BO73" s="40"/>
      <c r="BP73" s="101"/>
      <c r="BQ73" s="40">
        <f t="shared" si="67"/>
        <v>0</v>
      </c>
      <c r="BR73" s="40"/>
      <c r="BS73" s="40"/>
      <c r="BT73" s="40">
        <f t="shared" ref="BT73:BT89" si="73">SUM(BM73,BO73,BQ73,BR73,BS73)</f>
        <v>0</v>
      </c>
      <c r="BV73" s="85">
        <v>55685</v>
      </c>
      <c r="BW73" s="40"/>
      <c r="BX73" s="40"/>
      <c r="BY73" s="40"/>
      <c r="BZ73" s="40"/>
      <c r="CA73" s="40"/>
      <c r="CB73" s="40">
        <f t="shared" si="70"/>
        <v>0</v>
      </c>
      <c r="CD73" s="85">
        <v>55685</v>
      </c>
      <c r="CE73" s="40">
        <v>0</v>
      </c>
      <c r="CG73" s="40">
        <v>4750125</v>
      </c>
      <c r="CH73" s="40">
        <v>0</v>
      </c>
      <c r="CI73" s="40"/>
      <c r="CJ73" s="40">
        <f t="shared" ref="CJ73:CJ89" si="74">SUM(CE73,CG73,CH73,CI73)</f>
        <v>4750125</v>
      </c>
      <c r="CL73" s="85">
        <v>55685</v>
      </c>
      <c r="CM73" s="40">
        <v>0</v>
      </c>
      <c r="CN73" s="101"/>
      <c r="CO73" s="40">
        <v>0</v>
      </c>
      <c r="CP73" s="40">
        <v>0</v>
      </c>
      <c r="CQ73" s="40">
        <f t="shared" ref="CQ73:CQ89" si="75">SUM(CM73,CO73,CP73)</f>
        <v>0</v>
      </c>
      <c r="CS73" s="85">
        <v>55685</v>
      </c>
      <c r="CT73" s="40">
        <v>0</v>
      </c>
      <c r="CU73" s="40"/>
      <c r="CV73" s="40">
        <v>3425625</v>
      </c>
      <c r="CW73" s="40">
        <v>0</v>
      </c>
      <c r="CX73" s="40">
        <f t="shared" ref="CX73:CX89" si="76">SUM(CT73,CV73,CW73)</f>
        <v>3425625</v>
      </c>
      <c r="CZ73" s="85">
        <v>55685</v>
      </c>
      <c r="DA73" s="40">
        <v>1740000</v>
      </c>
      <c r="DB73" s="101">
        <v>0.05</v>
      </c>
      <c r="DC73" s="40">
        <v>43500</v>
      </c>
      <c r="DD73" s="40">
        <f t="shared" ref="DD73:DD89" si="77">SUM(DA73,DC73)</f>
        <v>1783500</v>
      </c>
      <c r="DF73" s="85">
        <v>55685</v>
      </c>
      <c r="DJ73" s="40">
        <f t="shared" ref="DJ73:DJ89" si="78">SUM(DG73,DI73)</f>
        <v>0</v>
      </c>
      <c r="DL73" s="85">
        <v>55685</v>
      </c>
      <c r="DM73" s="40">
        <v>0</v>
      </c>
      <c r="DN73" s="87"/>
      <c r="DO73" s="40"/>
      <c r="DP73" s="40">
        <v>0</v>
      </c>
      <c r="DQ73" s="40">
        <f t="shared" si="65"/>
        <v>0</v>
      </c>
      <c r="DS73" s="85">
        <v>55685</v>
      </c>
      <c r="DY73" s="85">
        <v>55685</v>
      </c>
      <c r="DZ73" s="40"/>
      <c r="EA73" s="40"/>
      <c r="ED73" s="40">
        <f t="shared" ref="ED73:ED89" si="79">SUM(DZ73,EB73,EC73)</f>
        <v>0</v>
      </c>
      <c r="EF73" s="85">
        <v>55685</v>
      </c>
      <c r="EJ73" s="40">
        <f t="shared" ref="EJ73:EJ89" si="80">SUM(EG73,EI73)</f>
        <v>0</v>
      </c>
      <c r="EL73" s="85">
        <v>55685</v>
      </c>
      <c r="EQ73" s="40">
        <f t="shared" ref="EQ73:EQ89" si="81">SUM(EM73,EO73,EP73)</f>
        <v>0</v>
      </c>
      <c r="ES73" s="85">
        <v>55685</v>
      </c>
      <c r="EX73" s="40">
        <f t="shared" si="66"/>
        <v>0</v>
      </c>
      <c r="EZ73" s="85">
        <v>55685</v>
      </c>
      <c r="FF73" s="85">
        <v>55685</v>
      </c>
      <c r="FJ73" s="40">
        <f t="shared" ref="FJ73:FJ89" si="82">SUM(FG73,FI73)</f>
        <v>0</v>
      </c>
      <c r="FL73" s="85">
        <v>55685</v>
      </c>
      <c r="FP73" s="40">
        <f t="shared" ref="FP73:FP89" si="83">SUM(FM73,FO73)</f>
        <v>0</v>
      </c>
      <c r="FR73" s="85">
        <v>55685</v>
      </c>
      <c r="FW73" s="40">
        <f t="shared" ref="FW73:FW89" si="84">SUM(FS73,FU73,FV73)</f>
        <v>0</v>
      </c>
      <c r="FY73" s="85">
        <v>55685</v>
      </c>
      <c r="GD73" s="40">
        <f t="shared" ref="GD73:GD89" si="85">SUM(FZ73,GB73,GC73)</f>
        <v>0</v>
      </c>
      <c r="GF73" s="85">
        <v>55685</v>
      </c>
      <c r="GK73" s="40">
        <f t="shared" ref="GK73:GK89" si="86">SUM(GG73,GI73,GJ73)</f>
        <v>0</v>
      </c>
      <c r="GM73" s="85">
        <v>55685</v>
      </c>
      <c r="GR73" s="40">
        <f t="shared" ref="GR73:GR89" si="87">SUM(GN73,GP73,GQ73)</f>
        <v>0</v>
      </c>
    </row>
    <row r="74" spans="6:200" x14ac:dyDescent="0.25">
      <c r="F74" s="85">
        <v>55884</v>
      </c>
      <c r="G74" s="85"/>
      <c r="H74" s="85">
        <v>55868</v>
      </c>
      <c r="I74" s="40"/>
      <c r="O74" s="85">
        <v>55884</v>
      </c>
      <c r="P74" s="85"/>
      <c r="Q74" s="85">
        <v>55868</v>
      </c>
      <c r="R74" s="40">
        <f t="shared" si="33"/>
        <v>24777137.699999999</v>
      </c>
      <c r="S74" s="40">
        <f t="shared" si="34"/>
        <v>8175750</v>
      </c>
      <c r="T74" s="40">
        <f t="shared" si="35"/>
        <v>176794160.5</v>
      </c>
      <c r="U74" s="40">
        <f t="shared" si="32"/>
        <v>0</v>
      </c>
      <c r="V74" s="40">
        <f t="shared" ref="V74:V89" si="88">SUM(R74:U74)</f>
        <v>209747048.19999999</v>
      </c>
      <c r="X74" s="85">
        <v>55868</v>
      </c>
      <c r="Y74" s="40"/>
      <c r="Z74" s="101"/>
      <c r="AA74" s="40">
        <f t="shared" ref="AA74:AA88" si="89">Y74*Z74/2+AA75</f>
        <v>0</v>
      </c>
      <c r="AB74" s="40">
        <v>0</v>
      </c>
      <c r="AC74" s="40"/>
      <c r="AD74" s="40">
        <f t="shared" si="3"/>
        <v>0</v>
      </c>
      <c r="AF74" s="85">
        <v>55868</v>
      </c>
      <c r="AG74" s="40"/>
      <c r="AH74" s="101"/>
      <c r="AI74" s="40">
        <f t="shared" si="68"/>
        <v>0</v>
      </c>
      <c r="AJ74" s="40">
        <v>0</v>
      </c>
      <c r="AK74" s="40"/>
      <c r="AL74" s="40">
        <f t="shared" si="71"/>
        <v>0</v>
      </c>
      <c r="AN74" s="85">
        <v>55868</v>
      </c>
      <c r="AO74" s="40">
        <v>0</v>
      </c>
      <c r="AP74" s="101"/>
      <c r="AQ74" s="40">
        <f t="shared" si="69"/>
        <v>0</v>
      </c>
      <c r="AR74" s="40">
        <v>0</v>
      </c>
      <c r="AS74" s="40"/>
      <c r="AT74" s="40">
        <f t="shared" si="72"/>
        <v>0</v>
      </c>
      <c r="AV74" s="85">
        <v>55868</v>
      </c>
      <c r="AW74" s="40">
        <v>0</v>
      </c>
      <c r="AX74" s="101"/>
      <c r="AY74" s="40">
        <f t="shared" si="7"/>
        <v>0</v>
      </c>
      <c r="AZ74" s="40">
        <v>0</v>
      </c>
      <c r="BA74" s="40"/>
      <c r="BB74" s="40">
        <f t="shared" ref="BB74:BB89" si="90">SUM(AW74,AY74,AZ74,BA74)</f>
        <v>0</v>
      </c>
      <c r="BD74" s="85">
        <v>55868</v>
      </c>
      <c r="BE74" s="40">
        <v>0</v>
      </c>
      <c r="BF74" s="101"/>
      <c r="BG74" s="40">
        <f t="shared" si="39"/>
        <v>0</v>
      </c>
      <c r="BH74" s="40">
        <v>0</v>
      </c>
      <c r="BI74" s="40"/>
      <c r="BJ74" s="40">
        <f t="shared" ref="BJ74:BJ89" si="91">SUM(BE74,BG74,BH74,BI74)</f>
        <v>0</v>
      </c>
      <c r="BL74" s="85">
        <v>55868</v>
      </c>
      <c r="BM74" s="40"/>
      <c r="BN74" s="101"/>
      <c r="BO74" s="40"/>
      <c r="BP74" s="101"/>
      <c r="BQ74" s="40">
        <f t="shared" si="67"/>
        <v>0</v>
      </c>
      <c r="BR74" s="40"/>
      <c r="BS74" s="40"/>
      <c r="BT74" s="40">
        <f t="shared" si="73"/>
        <v>0</v>
      </c>
      <c r="BV74" s="85">
        <v>55868</v>
      </c>
      <c r="BW74" s="40"/>
      <c r="BX74" s="40"/>
      <c r="BY74" s="40"/>
      <c r="BZ74" s="40"/>
      <c r="CA74" s="40"/>
      <c r="CB74" s="40">
        <f t="shared" si="70"/>
        <v>0</v>
      </c>
      <c r="CD74" s="85">
        <v>55868</v>
      </c>
      <c r="CE74" s="40">
        <v>223637.7</v>
      </c>
      <c r="CF74" s="101">
        <v>5.2499999999999998E-2</v>
      </c>
      <c r="CG74" s="40">
        <v>4750125</v>
      </c>
      <c r="CH74" s="40">
        <v>1149960.5</v>
      </c>
      <c r="CI74" s="40"/>
      <c r="CJ74" s="40">
        <f t="shared" si="74"/>
        <v>6123723.2000000002</v>
      </c>
      <c r="CL74" s="85">
        <v>55868</v>
      </c>
      <c r="CM74" s="40">
        <v>733950</v>
      </c>
      <c r="CN74" s="101">
        <v>5.2499999999999998E-2</v>
      </c>
      <c r="CO74" s="40">
        <v>0</v>
      </c>
      <c r="CP74" s="40">
        <v>3773750</v>
      </c>
      <c r="CQ74" s="40">
        <f t="shared" si="75"/>
        <v>4507700</v>
      </c>
      <c r="CS74" s="85">
        <v>55868</v>
      </c>
      <c r="CT74" s="40">
        <v>23819550</v>
      </c>
      <c r="CU74" s="84" t="s">
        <v>92</v>
      </c>
      <c r="CV74" s="40">
        <v>3425625</v>
      </c>
      <c r="CW74" s="40">
        <v>171870450</v>
      </c>
      <c r="CX74" s="40">
        <f t="shared" si="76"/>
        <v>199115625</v>
      </c>
      <c r="CZ74" s="85">
        <v>55868</v>
      </c>
      <c r="DA74" s="40">
        <v>0</v>
      </c>
      <c r="DB74" s="40"/>
      <c r="DC74" s="40">
        <v>0</v>
      </c>
      <c r="DD74" s="40">
        <f t="shared" si="77"/>
        <v>0</v>
      </c>
      <c r="DF74" s="85">
        <v>55868</v>
      </c>
      <c r="DJ74" s="40">
        <f t="shared" si="78"/>
        <v>0</v>
      </c>
      <c r="DL74" s="85">
        <v>55868</v>
      </c>
      <c r="DM74" s="40"/>
      <c r="DN74" s="87"/>
      <c r="DO74" s="40"/>
      <c r="DP74" s="40"/>
      <c r="DQ74" s="40">
        <f t="shared" si="65"/>
        <v>0</v>
      </c>
      <c r="DS74" s="85">
        <v>55868</v>
      </c>
      <c r="DU74" s="87"/>
      <c r="DY74" s="85">
        <v>55868</v>
      </c>
      <c r="DZ74" s="40"/>
      <c r="EA74" s="87"/>
      <c r="EB74" s="40"/>
      <c r="ED74" s="40">
        <f t="shared" si="79"/>
        <v>0</v>
      </c>
      <c r="EF74" s="85">
        <v>55868</v>
      </c>
      <c r="EG74" s="40"/>
      <c r="EH74" s="87"/>
      <c r="EI74" s="40"/>
      <c r="EJ74" s="40">
        <f t="shared" si="80"/>
        <v>0</v>
      </c>
      <c r="EL74" s="85">
        <v>55868</v>
      </c>
      <c r="EN74" s="87"/>
      <c r="EQ74" s="40">
        <f t="shared" si="81"/>
        <v>0</v>
      </c>
      <c r="ES74" s="85">
        <v>55868</v>
      </c>
      <c r="EU74" s="87"/>
      <c r="EX74" s="40">
        <f t="shared" si="66"/>
        <v>0</v>
      </c>
      <c r="EZ74" s="85">
        <v>55868</v>
      </c>
      <c r="FA74" s="67"/>
      <c r="FB74" s="67"/>
      <c r="FC74" s="67"/>
      <c r="FD74" s="67"/>
      <c r="FF74" s="85">
        <v>55868</v>
      </c>
      <c r="FG74" s="67"/>
      <c r="FH74" s="67"/>
      <c r="FI74" s="67"/>
      <c r="FJ74" s="40">
        <f t="shared" si="82"/>
        <v>0</v>
      </c>
      <c r="FL74" s="85">
        <v>55868</v>
      </c>
      <c r="FM74" s="67"/>
      <c r="FN74" s="67"/>
      <c r="FO74" s="67"/>
      <c r="FP74" s="40">
        <f t="shared" si="83"/>
        <v>0</v>
      </c>
      <c r="FR74" s="85">
        <v>55868</v>
      </c>
      <c r="FS74" s="67"/>
      <c r="FT74" s="67"/>
      <c r="FU74" s="67"/>
      <c r="FV74" s="67"/>
      <c r="FW74" s="40">
        <f t="shared" si="84"/>
        <v>0</v>
      </c>
      <c r="FY74" s="85">
        <v>55868</v>
      </c>
      <c r="FZ74" s="67"/>
      <c r="GA74" s="67"/>
      <c r="GB74" s="67"/>
      <c r="GC74" s="67"/>
      <c r="GD74" s="40">
        <f t="shared" si="85"/>
        <v>0</v>
      </c>
      <c r="GF74" s="85">
        <v>55868</v>
      </c>
      <c r="GG74" s="67"/>
      <c r="GH74" s="67"/>
      <c r="GI74" s="67"/>
      <c r="GJ74" s="67"/>
      <c r="GK74" s="40">
        <f t="shared" si="86"/>
        <v>0</v>
      </c>
      <c r="GM74" s="85">
        <v>55868</v>
      </c>
      <c r="GN74" s="67"/>
      <c r="GO74" s="67"/>
      <c r="GP74" s="67"/>
      <c r="GQ74" s="67"/>
      <c r="GR74" s="40">
        <f t="shared" si="87"/>
        <v>0</v>
      </c>
    </row>
    <row r="75" spans="6:200" x14ac:dyDescent="0.25">
      <c r="F75" s="85">
        <v>56065</v>
      </c>
      <c r="G75" s="85"/>
      <c r="H75" s="85">
        <v>56050</v>
      </c>
      <c r="I75" s="40">
        <f>SUM(Y74,Y75,AG74:AG75,AO74:AO75,AW74:AW75,BE74:BE75,BM74:BM75,BO74:BO75,BW74:BW75,CE74:CE75,CM74:CM75,CT74:CT75,DA74:DA75,DG74:DG75,DM74:DM75,DT74:DT75,DZ74:DZ75,EG74:EG75,EM74:EM75,ET74:ET75,FA74:FA75,FG74:FG75,FM74:FM75,FS74:FS75,FZ74:FZ75,GG74:GG75,GN74:GN75)</f>
        <v>154112137.69999999</v>
      </c>
      <c r="J75" s="40">
        <f>SUM(AA74,AA75,AI74:AI75,AQ74:AQ75,AY74:AY75,BG74:BG75,BQ74:BQ75,BY74:BY75,CG74:CG75,CO74:CO75,CV74:CV75,DC74:DC75,DI74:DI75,DO74:DO75,DV74:DV75,EB74:EB75,EI74:EI75,EO74:EO75,EV74:EV75,FC74:FC75,FI74:FI75,FO74:FO75,FU74:FU75,GB74:GB75,GI74:GI75,GP74:GP75)</f>
        <v>16334250</v>
      </c>
      <c r="K75" s="40">
        <f>SUM(AB74,AB75,BR74:BR75,BZ74:BZ75,CH74:CH75,CP74:CP75,CW74:CW75,DP74:DP75,EC74:EC75,EP74:EP75,EW74:EW75,FV74:FV75,GC74:GC75,GJ74:GJ75,GQ74:GQ75)</f>
        <v>176794160.5</v>
      </c>
      <c r="L75" s="40">
        <f>SUM(AC74,AC75,AS74:AS75,BA74:BA75,BI74:BI75,BS74:BS75,CA74:CA75,CI74:CI75)</f>
        <v>0</v>
      </c>
      <c r="M75" s="40">
        <f>SUM(I75:L75)</f>
        <v>347240548.19999999</v>
      </c>
      <c r="O75" s="85">
        <v>56065</v>
      </c>
      <c r="P75" s="85"/>
      <c r="Q75" s="85">
        <v>56050</v>
      </c>
      <c r="R75" s="40">
        <f t="shared" si="33"/>
        <v>129335000</v>
      </c>
      <c r="S75" s="40">
        <f t="shared" si="34"/>
        <v>8158500</v>
      </c>
      <c r="T75" s="40">
        <f t="shared" si="35"/>
        <v>0</v>
      </c>
      <c r="U75" s="40">
        <f t="shared" si="32"/>
        <v>0</v>
      </c>
      <c r="V75" s="40">
        <f t="shared" si="88"/>
        <v>137493500</v>
      </c>
      <c r="X75" s="85">
        <v>56050</v>
      </c>
      <c r="Y75" s="40"/>
      <c r="Z75" s="101"/>
      <c r="AA75" s="40">
        <f t="shared" si="89"/>
        <v>0</v>
      </c>
      <c r="AB75" s="40">
        <v>0</v>
      </c>
      <c r="AC75" s="40"/>
      <c r="AD75" s="40">
        <f t="shared" si="3"/>
        <v>0</v>
      </c>
      <c r="AF75" s="85">
        <v>56050</v>
      </c>
      <c r="AG75" s="40"/>
      <c r="AH75" s="101"/>
      <c r="AI75" s="40">
        <f t="shared" si="68"/>
        <v>0</v>
      </c>
      <c r="AJ75" s="40">
        <v>0</v>
      </c>
      <c r="AK75" s="40"/>
      <c r="AL75" s="40">
        <f t="shared" si="71"/>
        <v>0</v>
      </c>
      <c r="AN75" s="85">
        <v>56050</v>
      </c>
      <c r="AO75" s="40">
        <v>0</v>
      </c>
      <c r="AP75" s="101"/>
      <c r="AQ75" s="40">
        <f t="shared" si="69"/>
        <v>0</v>
      </c>
      <c r="AR75" s="40">
        <v>0</v>
      </c>
      <c r="AS75" s="40"/>
      <c r="AT75" s="40">
        <f t="shared" si="72"/>
        <v>0</v>
      </c>
      <c r="AV75" s="85">
        <v>56050</v>
      </c>
      <c r="AW75" s="40">
        <v>0</v>
      </c>
      <c r="AX75" s="101"/>
      <c r="AY75" s="40">
        <f t="shared" si="7"/>
        <v>0</v>
      </c>
      <c r="AZ75" s="40">
        <v>0</v>
      </c>
      <c r="BA75" s="40"/>
      <c r="BB75" s="40">
        <f t="shared" si="90"/>
        <v>0</v>
      </c>
      <c r="BD75" s="85">
        <v>56050</v>
      </c>
      <c r="BE75" s="40">
        <v>0</v>
      </c>
      <c r="BF75" s="101"/>
      <c r="BG75" s="40">
        <f t="shared" si="39"/>
        <v>0</v>
      </c>
      <c r="BH75" s="40">
        <v>0</v>
      </c>
      <c r="BI75" s="40"/>
      <c r="BJ75" s="40">
        <f t="shared" si="91"/>
        <v>0</v>
      </c>
      <c r="BL75" s="85">
        <v>56050</v>
      </c>
      <c r="BM75" s="40"/>
      <c r="BN75" s="101"/>
      <c r="BO75" s="40"/>
      <c r="BP75" s="101"/>
      <c r="BQ75" s="40">
        <f t="shared" si="67"/>
        <v>0</v>
      </c>
      <c r="BR75" s="40"/>
      <c r="BS75" s="40"/>
      <c r="BT75" s="40">
        <f t="shared" si="73"/>
        <v>0</v>
      </c>
      <c r="BV75" s="85">
        <v>56050</v>
      </c>
      <c r="BW75" s="40"/>
      <c r="BX75" s="40"/>
      <c r="BY75" s="40"/>
      <c r="BZ75" s="40"/>
      <c r="CA75" s="40"/>
      <c r="CB75" s="40">
        <f t="shared" si="70"/>
        <v>0</v>
      </c>
      <c r="CD75" s="85">
        <v>56050</v>
      </c>
      <c r="CE75" s="40">
        <v>0</v>
      </c>
      <c r="CG75" s="40">
        <v>4750125</v>
      </c>
      <c r="CH75" s="40">
        <v>0</v>
      </c>
      <c r="CI75" s="40"/>
      <c r="CJ75" s="40">
        <f t="shared" si="74"/>
        <v>4750125</v>
      </c>
      <c r="CL75" s="85">
        <v>56050</v>
      </c>
      <c r="CM75" s="40">
        <v>0</v>
      </c>
      <c r="CN75" s="101"/>
      <c r="CO75" s="40">
        <v>0</v>
      </c>
      <c r="CP75" s="40">
        <v>0</v>
      </c>
      <c r="CQ75" s="40">
        <f t="shared" si="75"/>
        <v>0</v>
      </c>
      <c r="CS75" s="85">
        <v>56050</v>
      </c>
      <c r="CT75" s="40">
        <v>129335000</v>
      </c>
      <c r="CU75" s="84" t="s">
        <v>93</v>
      </c>
      <c r="CV75" s="40">
        <v>3408375</v>
      </c>
      <c r="CW75" s="40">
        <v>0</v>
      </c>
      <c r="CX75" s="40">
        <f t="shared" si="76"/>
        <v>132743375</v>
      </c>
      <c r="CZ75" s="85">
        <v>56050</v>
      </c>
      <c r="DA75" s="40">
        <v>0</v>
      </c>
      <c r="DB75" s="40"/>
      <c r="DC75" s="40">
        <v>0</v>
      </c>
      <c r="DD75" s="40">
        <f t="shared" si="77"/>
        <v>0</v>
      </c>
      <c r="DF75" s="85">
        <v>56050</v>
      </c>
      <c r="DJ75" s="40">
        <f t="shared" si="78"/>
        <v>0</v>
      </c>
      <c r="DL75" s="85">
        <v>56050</v>
      </c>
      <c r="DM75" s="40"/>
      <c r="DN75" s="87"/>
      <c r="DO75" s="40"/>
      <c r="DP75" s="40"/>
      <c r="DQ75" s="40">
        <f t="shared" si="65"/>
        <v>0</v>
      </c>
      <c r="DS75" s="85">
        <v>56050</v>
      </c>
      <c r="DU75" s="87"/>
      <c r="DY75" s="85">
        <v>56050</v>
      </c>
      <c r="DZ75" s="40"/>
      <c r="EA75" s="87"/>
      <c r="EB75" s="40"/>
      <c r="ED75" s="40">
        <f t="shared" si="79"/>
        <v>0</v>
      </c>
      <c r="EF75" s="85">
        <v>56050</v>
      </c>
      <c r="EG75" s="40"/>
      <c r="EH75" s="87"/>
      <c r="EI75" s="40"/>
      <c r="EJ75" s="40">
        <f t="shared" si="80"/>
        <v>0</v>
      </c>
      <c r="EL75" s="85">
        <v>56050</v>
      </c>
      <c r="EN75" s="87"/>
      <c r="EQ75" s="40">
        <f t="shared" si="81"/>
        <v>0</v>
      </c>
      <c r="ES75" s="85">
        <v>56050</v>
      </c>
      <c r="EU75" s="87"/>
      <c r="EX75" s="40">
        <f t="shared" si="66"/>
        <v>0</v>
      </c>
      <c r="EZ75" s="85">
        <v>56050</v>
      </c>
      <c r="FA75" s="67"/>
      <c r="FB75" s="67"/>
      <c r="FC75" s="67"/>
      <c r="FD75" s="67"/>
      <c r="FF75" s="85">
        <v>56050</v>
      </c>
      <c r="FG75" s="67"/>
      <c r="FH75" s="67"/>
      <c r="FI75" s="67"/>
      <c r="FJ75" s="40">
        <f t="shared" si="82"/>
        <v>0</v>
      </c>
      <c r="FL75" s="85">
        <v>56050</v>
      </c>
      <c r="FM75" s="67"/>
      <c r="FN75" s="67"/>
      <c r="FO75" s="67"/>
      <c r="FP75" s="40">
        <f t="shared" si="83"/>
        <v>0</v>
      </c>
      <c r="FR75" s="85">
        <v>56050</v>
      </c>
      <c r="FS75" s="67"/>
      <c r="FT75" s="67"/>
      <c r="FU75" s="67"/>
      <c r="FV75" s="67"/>
      <c r="FW75" s="40">
        <f t="shared" si="84"/>
        <v>0</v>
      </c>
      <c r="FY75" s="85">
        <v>56050</v>
      </c>
      <c r="FZ75" s="67"/>
      <c r="GA75" s="67"/>
      <c r="GB75" s="67"/>
      <c r="GC75" s="67"/>
      <c r="GD75" s="40">
        <f t="shared" si="85"/>
        <v>0</v>
      </c>
      <c r="GF75" s="85">
        <v>56050</v>
      </c>
      <c r="GG75" s="67"/>
      <c r="GH75" s="67"/>
      <c r="GI75" s="67"/>
      <c r="GJ75" s="67"/>
      <c r="GK75" s="40">
        <f t="shared" si="86"/>
        <v>0</v>
      </c>
      <c r="GM75" s="85">
        <v>56050</v>
      </c>
      <c r="GN75" s="67"/>
      <c r="GO75" s="67"/>
      <c r="GP75" s="67"/>
      <c r="GQ75" s="67"/>
      <c r="GR75" s="40">
        <f t="shared" si="87"/>
        <v>0</v>
      </c>
    </row>
    <row r="76" spans="6:200" x14ac:dyDescent="0.25">
      <c r="F76" s="85">
        <v>56249</v>
      </c>
      <c r="G76" s="85"/>
      <c r="H76" s="85">
        <v>56233</v>
      </c>
      <c r="I76" s="40"/>
      <c r="O76" s="85">
        <v>56249</v>
      </c>
      <c r="P76" s="85"/>
      <c r="Q76" s="85">
        <v>56233</v>
      </c>
      <c r="R76" s="40">
        <f t="shared" si="33"/>
        <v>32548480.649999999</v>
      </c>
      <c r="S76" s="40">
        <f t="shared" si="34"/>
        <v>4750125</v>
      </c>
      <c r="T76" s="40">
        <f t="shared" si="35"/>
        <v>177986684.5</v>
      </c>
      <c r="U76" s="40">
        <f t="shared" si="32"/>
        <v>0</v>
      </c>
      <c r="V76" s="40">
        <f t="shared" si="88"/>
        <v>215285290.15000001</v>
      </c>
      <c r="X76" s="85">
        <v>56233</v>
      </c>
      <c r="Y76" s="40"/>
      <c r="Z76" s="101"/>
      <c r="AA76" s="40">
        <f t="shared" si="89"/>
        <v>0</v>
      </c>
      <c r="AB76" s="40">
        <v>0</v>
      </c>
      <c r="AC76" s="40"/>
      <c r="AD76" s="40">
        <f t="shared" ref="AD76:AD89" si="92">SUM(Y76,AA76,AB76,AC76)</f>
        <v>0</v>
      </c>
      <c r="AF76" s="85">
        <v>56233</v>
      </c>
      <c r="AG76" s="40"/>
      <c r="AH76" s="101"/>
      <c r="AI76" s="40">
        <f t="shared" si="68"/>
        <v>0</v>
      </c>
      <c r="AJ76" s="40">
        <v>0</v>
      </c>
      <c r="AK76" s="40"/>
      <c r="AL76" s="40">
        <f t="shared" si="71"/>
        <v>0</v>
      </c>
      <c r="AN76" s="85">
        <v>56233</v>
      </c>
      <c r="AO76" s="40">
        <v>0</v>
      </c>
      <c r="AP76" s="101"/>
      <c r="AQ76" s="40">
        <f t="shared" si="69"/>
        <v>0</v>
      </c>
      <c r="AR76" s="40">
        <v>0</v>
      </c>
      <c r="AS76" s="40"/>
      <c r="AT76" s="40">
        <f t="shared" si="72"/>
        <v>0</v>
      </c>
      <c r="AV76" s="85">
        <v>56233</v>
      </c>
      <c r="AW76" s="40">
        <v>0</v>
      </c>
      <c r="AX76" s="101"/>
      <c r="AY76" s="40">
        <f t="shared" ref="AY76:AY89" si="93">ROUND(AW76*AX76/2+AY77,2)</f>
        <v>0</v>
      </c>
      <c r="AZ76" s="40">
        <v>0</v>
      </c>
      <c r="BA76" s="40"/>
      <c r="BB76" s="40">
        <f t="shared" si="90"/>
        <v>0</v>
      </c>
      <c r="BD76" s="85">
        <v>56233</v>
      </c>
      <c r="BE76" s="40">
        <v>0</v>
      </c>
      <c r="BF76" s="101"/>
      <c r="BG76" s="40">
        <f t="shared" ref="BG76:BG89" si="94">ROUND(BE76*BF76/2+BG77,2)</f>
        <v>0</v>
      </c>
      <c r="BH76" s="40">
        <v>0</v>
      </c>
      <c r="BI76" s="40"/>
      <c r="BJ76" s="40">
        <f t="shared" si="91"/>
        <v>0</v>
      </c>
      <c r="BL76" s="85">
        <v>56233</v>
      </c>
      <c r="BM76" s="40"/>
      <c r="BN76" s="101"/>
      <c r="BO76" s="40"/>
      <c r="BP76" s="101"/>
      <c r="BQ76" s="40">
        <f t="shared" si="67"/>
        <v>0</v>
      </c>
      <c r="BR76" s="40"/>
      <c r="BS76" s="40"/>
      <c r="BT76" s="40">
        <f t="shared" si="73"/>
        <v>0</v>
      </c>
      <c r="BV76" s="85">
        <v>56233</v>
      </c>
      <c r="BW76" s="40"/>
      <c r="BX76" s="40"/>
      <c r="BY76" s="40"/>
      <c r="BZ76" s="40"/>
      <c r="CA76" s="40"/>
      <c r="CB76" s="40">
        <f t="shared" si="70"/>
        <v>0</v>
      </c>
      <c r="CD76" s="85">
        <v>56233</v>
      </c>
      <c r="CE76" s="40">
        <v>0</v>
      </c>
      <c r="CG76" s="40">
        <v>4750125</v>
      </c>
      <c r="CH76" s="40">
        <v>0</v>
      </c>
      <c r="CI76" s="40"/>
      <c r="CJ76" s="40">
        <f t="shared" si="74"/>
        <v>4750125</v>
      </c>
      <c r="CL76" s="85">
        <v>56233</v>
      </c>
      <c r="CM76" s="40">
        <v>32548480.649999999</v>
      </c>
      <c r="CN76" s="101">
        <v>5.2499999999999998E-2</v>
      </c>
      <c r="CO76" s="40">
        <v>0</v>
      </c>
      <c r="CP76" s="40">
        <v>177986684.5</v>
      </c>
      <c r="CQ76" s="40">
        <f t="shared" si="75"/>
        <v>210535165.15000001</v>
      </c>
      <c r="CS76" s="85">
        <v>56233</v>
      </c>
      <c r="CT76" s="40"/>
      <c r="CU76" s="40"/>
      <c r="CV76" s="40"/>
      <c r="CW76" s="40"/>
      <c r="CX76" s="40">
        <f t="shared" si="76"/>
        <v>0</v>
      </c>
      <c r="CZ76" s="85">
        <v>56233</v>
      </c>
      <c r="DB76" s="40"/>
      <c r="DD76" s="40">
        <f t="shared" si="77"/>
        <v>0</v>
      </c>
      <c r="DF76" s="85">
        <v>56233</v>
      </c>
      <c r="DJ76" s="40">
        <f t="shared" si="78"/>
        <v>0</v>
      </c>
      <c r="DL76" s="85">
        <v>56233</v>
      </c>
      <c r="DM76" s="40"/>
      <c r="DN76" s="87"/>
      <c r="DO76" s="40"/>
      <c r="DP76" s="40"/>
      <c r="DQ76" s="40">
        <f t="shared" si="65"/>
        <v>0</v>
      </c>
      <c r="DS76" s="85">
        <v>56233</v>
      </c>
      <c r="DU76" s="87"/>
      <c r="DY76" s="85">
        <v>56233</v>
      </c>
      <c r="DZ76" s="40"/>
      <c r="EA76" s="87"/>
      <c r="EB76" s="40"/>
      <c r="ED76" s="40">
        <f t="shared" si="79"/>
        <v>0</v>
      </c>
      <c r="EF76" s="85">
        <v>56233</v>
      </c>
      <c r="EG76" s="40"/>
      <c r="EH76" s="87"/>
      <c r="EI76" s="40"/>
      <c r="EJ76" s="40">
        <f t="shared" si="80"/>
        <v>0</v>
      </c>
      <c r="EL76" s="85">
        <v>56233</v>
      </c>
      <c r="EN76" s="87"/>
      <c r="EQ76" s="40">
        <f t="shared" si="81"/>
        <v>0</v>
      </c>
      <c r="ES76" s="85">
        <v>56233</v>
      </c>
      <c r="EU76" s="87"/>
      <c r="EX76" s="40">
        <f t="shared" si="66"/>
        <v>0</v>
      </c>
      <c r="EZ76" s="85">
        <v>56233</v>
      </c>
      <c r="FA76" s="67"/>
      <c r="FB76" s="67"/>
      <c r="FC76" s="67"/>
      <c r="FD76" s="67"/>
      <c r="FF76" s="85">
        <v>56233</v>
      </c>
      <c r="FG76" s="67"/>
      <c r="FH76" s="67"/>
      <c r="FI76" s="67"/>
      <c r="FJ76" s="40">
        <f t="shared" si="82"/>
        <v>0</v>
      </c>
      <c r="FL76" s="85">
        <v>56233</v>
      </c>
      <c r="FM76" s="67"/>
      <c r="FN76" s="67"/>
      <c r="FO76" s="67"/>
      <c r="FP76" s="40">
        <f t="shared" si="83"/>
        <v>0</v>
      </c>
      <c r="FR76" s="85">
        <v>56233</v>
      </c>
      <c r="FS76" s="67"/>
      <c r="FT76" s="67"/>
      <c r="FU76" s="67"/>
      <c r="FV76" s="67"/>
      <c r="FW76" s="40">
        <f t="shared" si="84"/>
        <v>0</v>
      </c>
      <c r="FY76" s="85">
        <v>56233</v>
      </c>
      <c r="FZ76" s="67"/>
      <c r="GA76" s="67"/>
      <c r="GB76" s="67"/>
      <c r="GC76" s="67"/>
      <c r="GD76" s="40">
        <f t="shared" si="85"/>
        <v>0</v>
      </c>
      <c r="GF76" s="85">
        <v>56233</v>
      </c>
      <c r="GG76" s="67"/>
      <c r="GH76" s="67"/>
      <c r="GI76" s="67"/>
      <c r="GJ76" s="67"/>
      <c r="GK76" s="40">
        <f t="shared" si="86"/>
        <v>0</v>
      </c>
      <c r="GM76" s="85">
        <v>56233</v>
      </c>
      <c r="GN76" s="67"/>
      <c r="GO76" s="67"/>
      <c r="GP76" s="67"/>
      <c r="GQ76" s="67"/>
      <c r="GR76" s="40">
        <f t="shared" si="87"/>
        <v>0</v>
      </c>
    </row>
    <row r="77" spans="6:200" x14ac:dyDescent="0.25">
      <c r="F77" s="85">
        <v>56430</v>
      </c>
      <c r="G77" s="85"/>
      <c r="H77" s="85">
        <v>56415</v>
      </c>
      <c r="I77" s="40">
        <f>SUM(Y76,Y77,AG76:AG77,AO76:AO77,AW76:AW77,BE76:BE77,BM76:BM77,BO76:BO77,BW76:BW77,CE76:CE77,CM76:CM77,CT76:CT77,DA76:DA77,DG76:DG77,DM76:DM77,DT76:DT77,DZ76:DZ77,EG76:EG77,EM76:EM77,ET76:ET77,FA76:FA77,FG76:FG77,FM76:FM77,FS76:FS77,FZ76:FZ77,GG76:GG77,GN76:GN77)</f>
        <v>68697912.650000006</v>
      </c>
      <c r="J77" s="40">
        <f>SUM(AA76,AA77,AI76:AI77,AQ76:AQ77,AY76:AY77,BG76:BG77,BQ76:BQ77,BY76:BY77,CG76:CG77,CO76:CO77,CV76:CV77,DC76:DC77,DI76:DI77,DO76:DO77,DV76:DV77,EB76:EB77,EI76:EI77,EO76:EO77,EV76:EV77,FC76:FC77,FI76:FI77,FO76:FO77,FU76:FU77,GB76:GB77,GI76:GI77,GP76:GP77)</f>
        <v>9500250</v>
      </c>
      <c r="K77" s="40">
        <f>SUM(AB76,AB77,BR76:BR77,BZ76:BZ77,CH76:CH77,CP76:CP77,CW76:CW77,DP76:DP77,EC76:EC77,EP76:EP77,EW76:EW77,FV76:FV77,GC76:GC77,GJ76:GJ77,GQ76:GQ77)</f>
        <v>269045344.5</v>
      </c>
      <c r="L77" s="40">
        <f>SUM(AC76,AC77,AS76:AS77,BA76:BA77,BI76:BI77,BS76:BS77,CA76:CA77,CI76:CI77)</f>
        <v>0</v>
      </c>
      <c r="M77" s="40">
        <f>SUM(I77:L77)</f>
        <v>347243507.14999998</v>
      </c>
      <c r="O77" s="85">
        <v>56430</v>
      </c>
      <c r="P77" s="85"/>
      <c r="Q77" s="85">
        <v>56415</v>
      </c>
      <c r="R77" s="40">
        <f t="shared" si="33"/>
        <v>36149432</v>
      </c>
      <c r="S77" s="40">
        <f t="shared" si="34"/>
        <v>4750125</v>
      </c>
      <c r="T77" s="40">
        <f t="shared" si="35"/>
        <v>91058660</v>
      </c>
      <c r="U77" s="40">
        <f t="shared" ref="U77:U89" si="95">SUM(AC77,AS77,BA77,BI77,BS77,CA77,CI77)</f>
        <v>0</v>
      </c>
      <c r="V77" s="40">
        <f t="shared" si="88"/>
        <v>131958217</v>
      </c>
      <c r="X77" s="85">
        <v>56415</v>
      </c>
      <c r="Y77" s="40"/>
      <c r="Z77" s="135"/>
      <c r="AA77" s="40">
        <f t="shared" si="89"/>
        <v>0</v>
      </c>
      <c r="AB77" s="40">
        <v>0</v>
      </c>
      <c r="AC77" s="40"/>
      <c r="AD77" s="40">
        <f t="shared" si="92"/>
        <v>0</v>
      </c>
      <c r="AF77" s="85">
        <v>56415</v>
      </c>
      <c r="AG77" s="40"/>
      <c r="AH77" s="135"/>
      <c r="AI77" s="40">
        <f t="shared" si="68"/>
        <v>0</v>
      </c>
      <c r="AJ77" s="40">
        <v>0</v>
      </c>
      <c r="AK77" s="40"/>
      <c r="AL77" s="40">
        <f t="shared" si="71"/>
        <v>0</v>
      </c>
      <c r="AN77" s="85">
        <v>56415</v>
      </c>
      <c r="AO77" s="40">
        <v>0</v>
      </c>
      <c r="AP77" s="135"/>
      <c r="AQ77" s="40">
        <f t="shared" si="69"/>
        <v>0</v>
      </c>
      <c r="AR77" s="40">
        <v>0</v>
      </c>
      <c r="AS77" s="40"/>
      <c r="AT77" s="40">
        <f t="shared" si="72"/>
        <v>0</v>
      </c>
      <c r="AV77" s="85">
        <v>56415</v>
      </c>
      <c r="AW77" s="40">
        <v>0</v>
      </c>
      <c r="AX77" s="135"/>
      <c r="AY77" s="40">
        <f t="shared" si="93"/>
        <v>0</v>
      </c>
      <c r="AZ77" s="40">
        <v>0</v>
      </c>
      <c r="BA77" s="40"/>
      <c r="BB77" s="40">
        <f t="shared" si="90"/>
        <v>0</v>
      </c>
      <c r="BD77" s="85">
        <v>56415</v>
      </c>
      <c r="BE77" s="40">
        <v>0</v>
      </c>
      <c r="BF77" s="135"/>
      <c r="BG77" s="40">
        <f t="shared" si="94"/>
        <v>0</v>
      </c>
      <c r="BH77" s="40">
        <v>0</v>
      </c>
      <c r="BI77" s="40"/>
      <c r="BJ77" s="40">
        <f t="shared" si="91"/>
        <v>0</v>
      </c>
      <c r="BL77" s="85">
        <v>56415</v>
      </c>
      <c r="BM77" s="40"/>
      <c r="BN77" s="101"/>
      <c r="BO77" s="40"/>
      <c r="BP77" s="101"/>
      <c r="BQ77" s="40">
        <f t="shared" si="67"/>
        <v>0</v>
      </c>
      <c r="BR77" s="40"/>
      <c r="BS77" s="40"/>
      <c r="BT77" s="40">
        <f t="shared" si="73"/>
        <v>0</v>
      </c>
      <c r="BV77" s="85">
        <v>56415</v>
      </c>
      <c r="BW77" s="40"/>
      <c r="BX77" s="40"/>
      <c r="BY77" s="40"/>
      <c r="BZ77" s="40"/>
      <c r="CA77" s="40"/>
      <c r="CB77" s="40">
        <f t="shared" si="70"/>
        <v>0</v>
      </c>
      <c r="CD77" s="85">
        <v>56415</v>
      </c>
      <c r="CE77" s="40">
        <v>33947582</v>
      </c>
      <c r="CF77" s="135" t="s">
        <v>94</v>
      </c>
      <c r="CG77" s="40">
        <v>4750125</v>
      </c>
      <c r="CH77" s="40">
        <v>78644210</v>
      </c>
      <c r="CI77" s="40"/>
      <c r="CJ77" s="40">
        <f t="shared" si="74"/>
        <v>117341917</v>
      </c>
      <c r="CL77" s="85">
        <v>56415</v>
      </c>
      <c r="CM77" s="40">
        <v>2201850</v>
      </c>
      <c r="CN77" s="101">
        <v>5.2499999999999998E-2</v>
      </c>
      <c r="CO77" s="40">
        <v>0</v>
      </c>
      <c r="CP77" s="40">
        <v>12414450</v>
      </c>
      <c r="CQ77" s="40">
        <f t="shared" si="75"/>
        <v>14616300</v>
      </c>
      <c r="CS77" s="85">
        <v>56415</v>
      </c>
      <c r="CT77" s="40"/>
      <c r="CU77" s="40"/>
      <c r="CV77" s="40"/>
      <c r="CW77" s="40"/>
      <c r="CX77" s="40">
        <f t="shared" si="76"/>
        <v>0</v>
      </c>
      <c r="CZ77" s="85">
        <v>56415</v>
      </c>
      <c r="DB77" s="40"/>
      <c r="DD77" s="40">
        <f t="shared" si="77"/>
        <v>0</v>
      </c>
      <c r="DF77" s="85">
        <v>56415</v>
      </c>
      <c r="DJ77" s="40">
        <f t="shared" si="78"/>
        <v>0</v>
      </c>
      <c r="DL77" s="85">
        <v>56415</v>
      </c>
      <c r="DM77" s="40"/>
      <c r="DN77" s="87"/>
      <c r="DO77" s="40"/>
      <c r="DP77" s="40"/>
      <c r="DQ77" s="40">
        <f t="shared" si="65"/>
        <v>0</v>
      </c>
      <c r="DS77" s="85">
        <v>56415</v>
      </c>
      <c r="DU77" s="87"/>
      <c r="DY77" s="85">
        <v>56415</v>
      </c>
      <c r="DZ77" s="40"/>
      <c r="EA77" s="87"/>
      <c r="EB77" s="40"/>
      <c r="ED77" s="40">
        <f t="shared" si="79"/>
        <v>0</v>
      </c>
      <c r="EF77" s="85">
        <v>56415</v>
      </c>
      <c r="EG77" s="40"/>
      <c r="EH77" s="87"/>
      <c r="EI77" s="40"/>
      <c r="EJ77" s="40">
        <f t="shared" si="80"/>
        <v>0</v>
      </c>
      <c r="EL77" s="85">
        <v>56415</v>
      </c>
      <c r="EN77" s="87"/>
      <c r="EQ77" s="40">
        <f t="shared" si="81"/>
        <v>0</v>
      </c>
      <c r="ES77" s="85">
        <v>56415</v>
      </c>
      <c r="EU77" s="87"/>
      <c r="EX77" s="40">
        <f t="shared" si="66"/>
        <v>0</v>
      </c>
      <c r="EZ77" s="85">
        <v>56415</v>
      </c>
      <c r="FA77" s="67"/>
      <c r="FB77" s="67"/>
      <c r="FC77" s="67"/>
      <c r="FD77" s="67"/>
      <c r="FF77" s="85">
        <v>56415</v>
      </c>
      <c r="FG77" s="67"/>
      <c r="FH77" s="67"/>
      <c r="FI77" s="67"/>
      <c r="FJ77" s="40">
        <f t="shared" si="82"/>
        <v>0</v>
      </c>
      <c r="FL77" s="85">
        <v>56415</v>
      </c>
      <c r="FM77" s="67"/>
      <c r="FN77" s="67"/>
      <c r="FO77" s="67"/>
      <c r="FP77" s="40">
        <f t="shared" si="83"/>
        <v>0</v>
      </c>
      <c r="FR77" s="85">
        <v>56415</v>
      </c>
      <c r="FS77" s="67"/>
      <c r="FT77" s="67"/>
      <c r="FU77" s="67"/>
      <c r="FV77" s="67"/>
      <c r="FW77" s="40">
        <f t="shared" si="84"/>
        <v>0</v>
      </c>
      <c r="FY77" s="85">
        <v>56415</v>
      </c>
      <c r="FZ77" s="67"/>
      <c r="GA77" s="67"/>
      <c r="GB77" s="67"/>
      <c r="GC77" s="67"/>
      <c r="GD77" s="40">
        <f t="shared" si="85"/>
        <v>0</v>
      </c>
      <c r="GF77" s="85">
        <v>56415</v>
      </c>
      <c r="GG77" s="67"/>
      <c r="GH77" s="67"/>
      <c r="GI77" s="67"/>
      <c r="GJ77" s="67"/>
      <c r="GK77" s="40">
        <f t="shared" si="86"/>
        <v>0</v>
      </c>
      <c r="GM77" s="85">
        <v>56415</v>
      </c>
      <c r="GN77" s="67"/>
      <c r="GO77" s="67"/>
      <c r="GP77" s="67"/>
      <c r="GQ77" s="67"/>
      <c r="GR77" s="40">
        <f t="shared" si="87"/>
        <v>0</v>
      </c>
    </row>
    <row r="78" spans="6:200" x14ac:dyDescent="0.25">
      <c r="F78" s="85">
        <v>56614</v>
      </c>
      <c r="G78" s="85"/>
      <c r="H78" s="85">
        <v>56598</v>
      </c>
      <c r="I78" s="40"/>
      <c r="O78" s="85">
        <v>56614</v>
      </c>
      <c r="P78" s="85"/>
      <c r="Q78" s="85">
        <v>56598</v>
      </c>
      <c r="R78" s="40">
        <f t="shared" ref="R78:R89" si="96">SUM(Y78,AG78,AO78,AW78,BE78,BM78,BO78,BW78,CE78,CM78,CT78,DA78,DG78,DM78,DT78,DZ78,EG78,EM78,ET78,FA78,FG78,FM78,FS78,FZ78,GG78,GN78)</f>
        <v>30978571.5</v>
      </c>
      <c r="S78" s="40">
        <f t="shared" ref="S78:S89" si="97">SUM(AA78,AI78,AQ78,AY78,BG78,BQ78,BY78,CG78,CO78,CV78,DC78,DI78,DO78,DV78,EB78,EI78,EO78,EV78,FC78,FI78,FO78,FU78,GB78,GI78,GP78)</f>
        <v>4250125</v>
      </c>
      <c r="T78" s="40">
        <f t="shared" ref="T78:T89" si="98">SUM(AB78,BR78,BZ78,CH78,CP78,CW78,DP78,EC78,EP78,EW78,FV78,GC78,GJ78,GQ78)</f>
        <v>180062062</v>
      </c>
      <c r="U78" s="40">
        <f t="shared" si="95"/>
        <v>0</v>
      </c>
      <c r="V78" s="40">
        <f t="shared" si="88"/>
        <v>215290758.5</v>
      </c>
      <c r="X78" s="85">
        <v>56598</v>
      </c>
      <c r="Y78" s="40"/>
      <c r="Z78" s="101"/>
      <c r="AA78" s="40">
        <f t="shared" si="89"/>
        <v>0</v>
      </c>
      <c r="AB78" s="40">
        <v>0</v>
      </c>
      <c r="AC78" s="40"/>
      <c r="AD78" s="40">
        <f t="shared" si="92"/>
        <v>0</v>
      </c>
      <c r="AF78" s="85">
        <v>56598</v>
      </c>
      <c r="AG78" s="40"/>
      <c r="AH78" s="101"/>
      <c r="AI78" s="40">
        <f t="shared" si="68"/>
        <v>0</v>
      </c>
      <c r="AJ78" s="40">
        <v>0</v>
      </c>
      <c r="AK78" s="40"/>
      <c r="AL78" s="40">
        <f t="shared" si="71"/>
        <v>0</v>
      </c>
      <c r="AN78" s="85">
        <v>56598</v>
      </c>
      <c r="AO78" s="40">
        <v>0</v>
      </c>
      <c r="AP78" s="101"/>
      <c r="AQ78" s="40">
        <f t="shared" si="69"/>
        <v>0</v>
      </c>
      <c r="AR78" s="40">
        <v>0</v>
      </c>
      <c r="AS78" s="40"/>
      <c r="AT78" s="40">
        <f t="shared" si="72"/>
        <v>0</v>
      </c>
      <c r="AV78" s="85">
        <v>56598</v>
      </c>
      <c r="AW78" s="40">
        <v>0</v>
      </c>
      <c r="AX78" s="101"/>
      <c r="AY78" s="40">
        <f t="shared" si="93"/>
        <v>0</v>
      </c>
      <c r="AZ78" s="40">
        <v>0</v>
      </c>
      <c r="BA78" s="40"/>
      <c r="BB78" s="40">
        <f t="shared" si="90"/>
        <v>0</v>
      </c>
      <c r="BD78" s="85">
        <v>56598</v>
      </c>
      <c r="BE78" s="40">
        <v>0</v>
      </c>
      <c r="BF78" s="101"/>
      <c r="BG78" s="40">
        <f t="shared" si="94"/>
        <v>0</v>
      </c>
      <c r="BH78" s="40">
        <v>0</v>
      </c>
      <c r="BI78" s="40"/>
      <c r="BJ78" s="40">
        <f t="shared" si="91"/>
        <v>0</v>
      </c>
      <c r="BL78" s="85">
        <v>56598</v>
      </c>
      <c r="BM78" s="40"/>
      <c r="BN78" s="101"/>
      <c r="BO78" s="40"/>
      <c r="BP78" s="101"/>
      <c r="BQ78" s="40">
        <f t="shared" si="67"/>
        <v>0</v>
      </c>
      <c r="BR78" s="40"/>
      <c r="BS78" s="40"/>
      <c r="BT78" s="40">
        <f t="shared" si="73"/>
        <v>0</v>
      </c>
      <c r="BV78" s="85">
        <v>56598</v>
      </c>
      <c r="BW78" s="40"/>
      <c r="BX78" s="40"/>
      <c r="BY78" s="40"/>
      <c r="BZ78" s="40"/>
      <c r="CA78" s="40"/>
      <c r="CB78" s="40">
        <f t="shared" si="70"/>
        <v>0</v>
      </c>
      <c r="CD78" s="85">
        <v>56598</v>
      </c>
      <c r="CE78" s="40">
        <v>1558185.75</v>
      </c>
      <c r="CF78" s="101">
        <v>5.2499999999999998E-2</v>
      </c>
      <c r="CG78" s="40">
        <v>4250125</v>
      </c>
      <c r="CH78" s="40">
        <v>9057447.75</v>
      </c>
      <c r="CI78" s="40"/>
      <c r="CJ78" s="40">
        <f t="shared" si="74"/>
        <v>14865758.5</v>
      </c>
      <c r="CL78" s="85">
        <v>56598</v>
      </c>
      <c r="CM78" s="40">
        <v>29420385.75</v>
      </c>
      <c r="CN78" s="101">
        <v>5.2499999999999998E-2</v>
      </c>
      <c r="CO78" s="40">
        <v>0</v>
      </c>
      <c r="CP78" s="40">
        <v>171004614.25</v>
      </c>
      <c r="CQ78" s="40">
        <f t="shared" si="75"/>
        <v>200425000</v>
      </c>
      <c r="CS78" s="85">
        <v>56598</v>
      </c>
      <c r="CT78" s="40"/>
      <c r="CU78" s="40"/>
      <c r="CV78" s="40"/>
      <c r="CW78" s="40"/>
      <c r="CX78" s="40">
        <f t="shared" si="76"/>
        <v>0</v>
      </c>
      <c r="CZ78" s="85">
        <v>56598</v>
      </c>
      <c r="DB78" s="40"/>
      <c r="DD78" s="40">
        <f t="shared" si="77"/>
        <v>0</v>
      </c>
      <c r="DF78" s="85">
        <v>56598</v>
      </c>
      <c r="DJ78" s="40">
        <f t="shared" si="78"/>
        <v>0</v>
      </c>
      <c r="DL78" s="85">
        <v>56598</v>
      </c>
      <c r="DM78" s="40"/>
      <c r="DN78" s="87"/>
      <c r="DO78" s="40"/>
      <c r="DP78" s="40"/>
      <c r="DQ78" s="40">
        <f t="shared" si="65"/>
        <v>0</v>
      </c>
      <c r="DS78" s="85">
        <v>56598</v>
      </c>
      <c r="DU78" s="87"/>
      <c r="DY78" s="85">
        <v>56598</v>
      </c>
      <c r="DZ78" s="40"/>
      <c r="EA78" s="87"/>
      <c r="EB78" s="40"/>
      <c r="ED78" s="40">
        <f t="shared" si="79"/>
        <v>0</v>
      </c>
      <c r="EF78" s="85">
        <v>56598</v>
      </c>
      <c r="EG78" s="40"/>
      <c r="EH78" s="87"/>
      <c r="EI78" s="40"/>
      <c r="EJ78" s="40">
        <f t="shared" si="80"/>
        <v>0</v>
      </c>
      <c r="EL78" s="85">
        <v>56598</v>
      </c>
      <c r="EN78" s="87"/>
      <c r="EQ78" s="40">
        <f t="shared" si="81"/>
        <v>0</v>
      </c>
      <c r="ES78" s="85">
        <v>56598</v>
      </c>
      <c r="EU78" s="87"/>
      <c r="EX78" s="40">
        <f t="shared" si="66"/>
        <v>0</v>
      </c>
      <c r="EZ78" s="85">
        <v>56598</v>
      </c>
      <c r="FA78" s="67"/>
      <c r="FB78" s="67"/>
      <c r="FC78" s="67"/>
      <c r="FD78" s="67"/>
      <c r="FF78" s="85">
        <v>56598</v>
      </c>
      <c r="FG78" s="67"/>
      <c r="FH78" s="67"/>
      <c r="FI78" s="67"/>
      <c r="FJ78" s="40">
        <f t="shared" si="82"/>
        <v>0</v>
      </c>
      <c r="FL78" s="85">
        <v>56598</v>
      </c>
      <c r="FM78" s="67"/>
      <c r="FN78" s="67"/>
      <c r="FO78" s="67"/>
      <c r="FP78" s="40">
        <f t="shared" si="83"/>
        <v>0</v>
      </c>
      <c r="FR78" s="85">
        <v>56598</v>
      </c>
      <c r="FS78" s="67"/>
      <c r="FT78" s="67"/>
      <c r="FU78" s="67"/>
      <c r="FV78" s="67"/>
      <c r="FW78" s="40">
        <f t="shared" si="84"/>
        <v>0</v>
      </c>
      <c r="FY78" s="85">
        <v>56598</v>
      </c>
      <c r="FZ78" s="67"/>
      <c r="GA78" s="67"/>
      <c r="GB78" s="67"/>
      <c r="GC78" s="67"/>
      <c r="GD78" s="40">
        <f t="shared" si="85"/>
        <v>0</v>
      </c>
      <c r="GF78" s="85">
        <v>56598</v>
      </c>
      <c r="GG78" s="67"/>
      <c r="GH78" s="67"/>
      <c r="GI78" s="67"/>
      <c r="GJ78" s="67"/>
      <c r="GK78" s="40">
        <f t="shared" si="86"/>
        <v>0</v>
      </c>
      <c r="GM78" s="85">
        <v>56598</v>
      </c>
      <c r="GN78" s="67"/>
      <c r="GO78" s="67"/>
      <c r="GP78" s="67"/>
      <c r="GQ78" s="67"/>
      <c r="GR78" s="40">
        <f t="shared" si="87"/>
        <v>0</v>
      </c>
    </row>
    <row r="79" spans="6:200" x14ac:dyDescent="0.25">
      <c r="F79" s="85">
        <v>56795</v>
      </c>
      <c r="G79" s="85"/>
      <c r="H79" s="85">
        <v>56780</v>
      </c>
      <c r="I79" s="40">
        <f>SUM(Y78,Y79,AG78:AG79,AO78:AO79,AW78:AW79,BE78:BE79,BM78:BM79,BO78:BO79,BW78:BW79,CE78:CE79,CM78:CM79,CT78:CT79,DA78:DA79,DG78:DG79,DM78:DM79,DT78:DT79,DZ78:DZ79,EG78:EG79,EM78:EM79,ET78:ET79,FA78:FA79,FG78:FG79,FM78:FM79,FS78:FS79,FZ78:FZ79,GG78:GG79,GN78:GN79)</f>
        <v>66383106.799999997</v>
      </c>
      <c r="J79" s="40">
        <f>SUM(AA78,AA79,AI78:AI79,AQ78:AQ79,AY78:AY79,BG78:BG79,BQ78:BQ79,BY78:BY79,CG78:CG79,CO78:CO79,CV78:CV79,DC78:DC79,DI78:DI79,DO78:DO79,DV78:DV79,EB78:EB79,EI78:EI79,EO78:EO79,EV78:EV79,FC78:FC79,FI78:FI79,FO78:FO79,FU78:FU79,GB78:GB79,GI78:GI79,GP78:GP79)</f>
        <v>8500250</v>
      </c>
      <c r="K79" s="40">
        <f>SUM(AB78,AB79,BR78:BR79,BZ78:BZ79,CH78:CH79,CP78:CP79,CW78:CW79,DP78:DP79,EC78:EC79,EP78:EP79,EW78:EW79,FV78:FV79,GC78:GC79,GJ78:GJ79,GQ78:GQ79)</f>
        <v>272361222.80000001</v>
      </c>
      <c r="L79" s="40">
        <f>SUM(AC78,AC79,AS78:AS79,BA78:BA79,BI78:BI79,BS78:BS79,CA78:CA79,CI78:CI79)</f>
        <v>0</v>
      </c>
      <c r="M79" s="40">
        <f>SUM(I79:L79)</f>
        <v>347244579.60000002</v>
      </c>
      <c r="O79" s="85">
        <v>56795</v>
      </c>
      <c r="P79" s="85"/>
      <c r="Q79" s="85">
        <v>56780</v>
      </c>
      <c r="R79" s="40">
        <f t="shared" si="96"/>
        <v>35404535.299999997</v>
      </c>
      <c r="S79" s="40">
        <f t="shared" si="97"/>
        <v>4250125</v>
      </c>
      <c r="T79" s="40">
        <f t="shared" si="98"/>
        <v>92299160.799999997</v>
      </c>
      <c r="U79" s="40">
        <f t="shared" si="95"/>
        <v>0</v>
      </c>
      <c r="V79" s="40">
        <f t="shared" si="88"/>
        <v>131953821.09999999</v>
      </c>
      <c r="X79" s="85">
        <v>56780</v>
      </c>
      <c r="Y79" s="40"/>
      <c r="Z79" s="135"/>
      <c r="AA79" s="40">
        <f t="shared" si="89"/>
        <v>0</v>
      </c>
      <c r="AB79" s="40">
        <v>0</v>
      </c>
      <c r="AC79" s="40"/>
      <c r="AD79" s="40">
        <f t="shared" si="92"/>
        <v>0</v>
      </c>
      <c r="AF79" s="85">
        <v>56780</v>
      </c>
      <c r="AG79" s="40"/>
      <c r="AH79" s="135"/>
      <c r="AI79" s="40">
        <f t="shared" si="68"/>
        <v>0</v>
      </c>
      <c r="AJ79" s="40">
        <v>0</v>
      </c>
      <c r="AK79" s="40"/>
      <c r="AL79" s="40">
        <f t="shared" si="71"/>
        <v>0</v>
      </c>
      <c r="AN79" s="85">
        <v>56780</v>
      </c>
      <c r="AO79" s="40">
        <v>0</v>
      </c>
      <c r="AP79" s="135"/>
      <c r="AQ79" s="40">
        <f t="shared" si="69"/>
        <v>0</v>
      </c>
      <c r="AR79" s="40">
        <v>0</v>
      </c>
      <c r="AS79" s="40"/>
      <c r="AT79" s="40">
        <f t="shared" si="72"/>
        <v>0</v>
      </c>
      <c r="AV79" s="85">
        <v>56780</v>
      </c>
      <c r="AW79" s="40">
        <v>0</v>
      </c>
      <c r="AX79" s="135"/>
      <c r="AY79" s="40">
        <f t="shared" si="93"/>
        <v>0</v>
      </c>
      <c r="AZ79" s="40">
        <v>0</v>
      </c>
      <c r="BA79" s="40"/>
      <c r="BB79" s="40">
        <f t="shared" si="90"/>
        <v>0</v>
      </c>
      <c r="BD79" s="85">
        <v>56780</v>
      </c>
      <c r="BE79" s="40">
        <v>0</v>
      </c>
      <c r="BF79" s="135"/>
      <c r="BG79" s="40">
        <f t="shared" si="94"/>
        <v>0</v>
      </c>
      <c r="BH79" s="40">
        <v>0</v>
      </c>
      <c r="BI79" s="40"/>
      <c r="BJ79" s="40">
        <f t="shared" si="91"/>
        <v>0</v>
      </c>
      <c r="BL79" s="85">
        <v>56780</v>
      </c>
      <c r="BM79" s="40"/>
      <c r="BN79" s="101"/>
      <c r="BO79" s="40"/>
      <c r="BP79" s="101"/>
      <c r="BQ79" s="40">
        <f t="shared" si="67"/>
        <v>0</v>
      </c>
      <c r="BR79" s="40"/>
      <c r="BS79" s="40"/>
      <c r="BT79" s="40">
        <f t="shared" si="73"/>
        <v>0</v>
      </c>
      <c r="BV79" s="85">
        <v>56780</v>
      </c>
      <c r="BW79" s="40"/>
      <c r="BX79" s="40"/>
      <c r="BY79" s="40"/>
      <c r="BZ79" s="40"/>
      <c r="CA79" s="40"/>
      <c r="CB79" s="40">
        <f t="shared" si="70"/>
        <v>0</v>
      </c>
      <c r="CD79" s="85">
        <v>56780</v>
      </c>
      <c r="CE79" s="40">
        <v>35404535.299999997</v>
      </c>
      <c r="CF79" s="135" t="s">
        <v>94</v>
      </c>
      <c r="CG79" s="40">
        <v>4250125</v>
      </c>
      <c r="CH79" s="40">
        <v>92299160.799999997</v>
      </c>
      <c r="CI79" s="40"/>
      <c r="CJ79" s="40">
        <f t="shared" si="74"/>
        <v>131953821.09999999</v>
      </c>
      <c r="CL79" s="85">
        <v>56780</v>
      </c>
      <c r="CM79" s="40">
        <v>0</v>
      </c>
      <c r="CN79" s="101"/>
      <c r="CO79" s="40">
        <v>0</v>
      </c>
      <c r="CP79" s="40">
        <v>0</v>
      </c>
      <c r="CQ79" s="40">
        <f t="shared" si="75"/>
        <v>0</v>
      </c>
      <c r="CS79" s="85">
        <v>56780</v>
      </c>
      <c r="CT79" s="40"/>
      <c r="CU79" s="40"/>
      <c r="CV79" s="40"/>
      <c r="CW79" s="40"/>
      <c r="CX79" s="40">
        <f t="shared" si="76"/>
        <v>0</v>
      </c>
      <c r="CZ79" s="85">
        <v>56780</v>
      </c>
      <c r="DB79" s="40"/>
      <c r="DD79" s="40">
        <f t="shared" si="77"/>
        <v>0</v>
      </c>
      <c r="DF79" s="85">
        <v>56780</v>
      </c>
      <c r="DJ79" s="40">
        <f t="shared" si="78"/>
        <v>0</v>
      </c>
      <c r="DL79" s="85">
        <v>56780</v>
      </c>
      <c r="DM79" s="40"/>
      <c r="DN79" s="87"/>
      <c r="DO79" s="40"/>
      <c r="DP79" s="40"/>
      <c r="DQ79" s="40">
        <f t="shared" si="65"/>
        <v>0</v>
      </c>
      <c r="DS79" s="85">
        <v>56780</v>
      </c>
      <c r="DU79" s="87"/>
      <c r="DY79" s="85">
        <v>56780</v>
      </c>
      <c r="DZ79" s="40"/>
      <c r="EA79" s="87"/>
      <c r="EB79" s="40"/>
      <c r="ED79" s="40">
        <f t="shared" si="79"/>
        <v>0</v>
      </c>
      <c r="EF79" s="85">
        <v>56780</v>
      </c>
      <c r="EG79" s="40"/>
      <c r="EH79" s="87"/>
      <c r="EI79" s="40"/>
      <c r="EJ79" s="40">
        <f t="shared" si="80"/>
        <v>0</v>
      </c>
      <c r="EL79" s="85">
        <v>56780</v>
      </c>
      <c r="EN79" s="87"/>
      <c r="EQ79" s="40">
        <f t="shared" si="81"/>
        <v>0</v>
      </c>
      <c r="ES79" s="85">
        <v>56780</v>
      </c>
      <c r="EU79" s="87"/>
      <c r="EX79" s="40">
        <f t="shared" si="66"/>
        <v>0</v>
      </c>
      <c r="EZ79" s="85">
        <v>56780</v>
      </c>
      <c r="FA79" s="67"/>
      <c r="FB79" s="67"/>
      <c r="FC79" s="67"/>
      <c r="FD79" s="67"/>
      <c r="FF79" s="85">
        <v>56780</v>
      </c>
      <c r="FG79" s="67"/>
      <c r="FH79" s="67"/>
      <c r="FI79" s="67"/>
      <c r="FJ79" s="40">
        <f t="shared" si="82"/>
        <v>0</v>
      </c>
      <c r="FL79" s="85">
        <v>56780</v>
      </c>
      <c r="FM79" s="67"/>
      <c r="FN79" s="67"/>
      <c r="FO79" s="67"/>
      <c r="FP79" s="40">
        <f t="shared" si="83"/>
        <v>0</v>
      </c>
      <c r="FR79" s="85">
        <v>56780</v>
      </c>
      <c r="FS79" s="67"/>
      <c r="FT79" s="67"/>
      <c r="FU79" s="67"/>
      <c r="FV79" s="67"/>
      <c r="FW79" s="40">
        <f t="shared" si="84"/>
        <v>0</v>
      </c>
      <c r="FY79" s="85">
        <v>56780</v>
      </c>
      <c r="FZ79" s="67"/>
      <c r="GA79" s="67"/>
      <c r="GB79" s="67"/>
      <c r="GC79" s="67"/>
      <c r="GD79" s="40">
        <f t="shared" si="85"/>
        <v>0</v>
      </c>
      <c r="GF79" s="85">
        <v>56780</v>
      </c>
      <c r="GG79" s="67"/>
      <c r="GH79" s="67"/>
      <c r="GI79" s="67"/>
      <c r="GJ79" s="67"/>
      <c r="GK79" s="40">
        <f t="shared" si="86"/>
        <v>0</v>
      </c>
      <c r="GM79" s="85">
        <v>56780</v>
      </c>
      <c r="GN79" s="67"/>
      <c r="GO79" s="67"/>
      <c r="GP79" s="67"/>
      <c r="GQ79" s="67"/>
      <c r="GR79" s="40">
        <f t="shared" si="87"/>
        <v>0</v>
      </c>
    </row>
    <row r="80" spans="6:200" x14ac:dyDescent="0.25">
      <c r="F80" s="85">
        <v>56979</v>
      </c>
      <c r="G80" s="85"/>
      <c r="H80" s="85">
        <v>56963</v>
      </c>
      <c r="I80" s="40"/>
      <c r="O80" s="85">
        <v>56979</v>
      </c>
      <c r="P80" s="85"/>
      <c r="Q80" s="85">
        <v>56963</v>
      </c>
      <c r="R80" s="40">
        <f t="shared" si="96"/>
        <v>42944037.049999997</v>
      </c>
      <c r="S80" s="40">
        <f t="shared" si="97"/>
        <v>3750125</v>
      </c>
      <c r="T80" s="40">
        <f t="shared" si="98"/>
        <v>141683286.59999999</v>
      </c>
      <c r="U80" s="40">
        <f t="shared" si="95"/>
        <v>0</v>
      </c>
      <c r="V80" s="40">
        <f t="shared" si="88"/>
        <v>188377448.64999998</v>
      </c>
      <c r="X80" s="85">
        <v>56963</v>
      </c>
      <c r="Y80" s="40"/>
      <c r="Z80" s="135"/>
      <c r="AA80" s="40">
        <f t="shared" si="89"/>
        <v>0</v>
      </c>
      <c r="AB80" s="40">
        <v>0</v>
      </c>
      <c r="AC80" s="40"/>
      <c r="AD80" s="40">
        <f t="shared" si="92"/>
        <v>0</v>
      </c>
      <c r="AF80" s="85">
        <v>56963</v>
      </c>
      <c r="AG80" s="40"/>
      <c r="AH80" s="135"/>
      <c r="AI80" s="40">
        <f t="shared" si="68"/>
        <v>0</v>
      </c>
      <c r="AJ80" s="40">
        <v>0</v>
      </c>
      <c r="AK80" s="40"/>
      <c r="AL80" s="40">
        <f t="shared" si="71"/>
        <v>0</v>
      </c>
      <c r="AN80" s="85">
        <v>56963</v>
      </c>
      <c r="AO80" s="40">
        <v>0</v>
      </c>
      <c r="AP80" s="135"/>
      <c r="AQ80" s="40">
        <f t="shared" si="69"/>
        <v>0</v>
      </c>
      <c r="AR80" s="40">
        <v>0</v>
      </c>
      <c r="AS80" s="40"/>
      <c r="AT80" s="40">
        <f t="shared" si="72"/>
        <v>0</v>
      </c>
      <c r="AV80" s="85">
        <v>56963</v>
      </c>
      <c r="AW80" s="40">
        <v>0</v>
      </c>
      <c r="AX80" s="135"/>
      <c r="AY80" s="40">
        <f t="shared" si="93"/>
        <v>0</v>
      </c>
      <c r="AZ80" s="40">
        <v>0</v>
      </c>
      <c r="BA80" s="40"/>
      <c r="BB80" s="40">
        <f t="shared" si="90"/>
        <v>0</v>
      </c>
      <c r="BD80" s="85">
        <v>56963</v>
      </c>
      <c r="BE80" s="40">
        <v>0</v>
      </c>
      <c r="BF80" s="135"/>
      <c r="BG80" s="40">
        <f t="shared" si="94"/>
        <v>0</v>
      </c>
      <c r="BH80" s="40">
        <v>0</v>
      </c>
      <c r="BI80" s="40"/>
      <c r="BJ80" s="40">
        <f t="shared" si="91"/>
        <v>0</v>
      </c>
      <c r="BL80" s="85">
        <v>56963</v>
      </c>
      <c r="BM80" s="40"/>
      <c r="BN80" s="101"/>
      <c r="BO80" s="40"/>
      <c r="BP80" s="101"/>
      <c r="BQ80" s="40">
        <f t="shared" si="67"/>
        <v>0</v>
      </c>
      <c r="BR80" s="40"/>
      <c r="BS80" s="40"/>
      <c r="BT80" s="40">
        <f t="shared" si="73"/>
        <v>0</v>
      </c>
      <c r="BV80" s="85">
        <v>56963</v>
      </c>
      <c r="BW80" s="40"/>
      <c r="BX80" s="40"/>
      <c r="BY80" s="40"/>
      <c r="BZ80" s="40"/>
      <c r="CA80" s="40"/>
      <c r="CB80" s="40">
        <f t="shared" si="70"/>
        <v>0</v>
      </c>
      <c r="CD80" s="85">
        <v>56963</v>
      </c>
      <c r="CE80" s="40">
        <v>42944037.049999997</v>
      </c>
      <c r="CF80" s="135" t="s">
        <v>94</v>
      </c>
      <c r="CG80" s="40">
        <v>3750125</v>
      </c>
      <c r="CH80" s="40">
        <v>141683286.59999999</v>
      </c>
      <c r="CI80" s="40"/>
      <c r="CJ80" s="40">
        <f t="shared" si="74"/>
        <v>188377448.64999998</v>
      </c>
      <c r="CL80" s="85">
        <v>56963</v>
      </c>
      <c r="CM80" s="40">
        <v>0</v>
      </c>
      <c r="CN80" s="101"/>
      <c r="CO80" s="40">
        <v>0</v>
      </c>
      <c r="CP80" s="40">
        <v>0</v>
      </c>
      <c r="CQ80" s="40">
        <f t="shared" si="75"/>
        <v>0</v>
      </c>
      <c r="CS80" s="85">
        <v>56963</v>
      </c>
      <c r="CT80" s="40"/>
      <c r="CU80" s="40"/>
      <c r="CV80" s="40"/>
      <c r="CW80" s="40"/>
      <c r="CX80" s="40">
        <f t="shared" si="76"/>
        <v>0</v>
      </c>
      <c r="CZ80" s="85">
        <v>56963</v>
      </c>
      <c r="DB80" s="40"/>
      <c r="DD80" s="40">
        <f t="shared" si="77"/>
        <v>0</v>
      </c>
      <c r="DF80" s="85">
        <v>56963</v>
      </c>
      <c r="DJ80" s="40">
        <f t="shared" si="78"/>
        <v>0</v>
      </c>
      <c r="DL80" s="85">
        <v>56963</v>
      </c>
      <c r="DM80" s="40"/>
      <c r="DN80" s="87"/>
      <c r="DO80" s="40"/>
      <c r="DP80" s="40"/>
      <c r="DQ80" s="40">
        <f t="shared" si="65"/>
        <v>0</v>
      </c>
      <c r="DS80" s="85">
        <v>56963</v>
      </c>
      <c r="DU80" s="87"/>
      <c r="DY80" s="85">
        <v>56963</v>
      </c>
      <c r="DZ80" s="40"/>
      <c r="EA80" s="87"/>
      <c r="EB80" s="40"/>
      <c r="ED80" s="40">
        <f t="shared" si="79"/>
        <v>0</v>
      </c>
      <c r="EF80" s="85">
        <v>56963</v>
      </c>
      <c r="EG80" s="40"/>
      <c r="EH80" s="87"/>
      <c r="EI80" s="40"/>
      <c r="EJ80" s="40">
        <f t="shared" si="80"/>
        <v>0</v>
      </c>
      <c r="EL80" s="85">
        <v>56963</v>
      </c>
      <c r="EN80" s="87"/>
      <c r="EQ80" s="40">
        <f t="shared" si="81"/>
        <v>0</v>
      </c>
      <c r="ES80" s="85">
        <v>56963</v>
      </c>
      <c r="EU80" s="87"/>
      <c r="EX80" s="40">
        <f t="shared" si="66"/>
        <v>0</v>
      </c>
      <c r="EZ80" s="85">
        <v>56963</v>
      </c>
      <c r="FA80" s="67"/>
      <c r="FB80" s="67"/>
      <c r="FC80" s="67"/>
      <c r="FD80" s="67"/>
      <c r="FF80" s="85">
        <v>56963</v>
      </c>
      <c r="FG80" s="67"/>
      <c r="FH80" s="67"/>
      <c r="FI80" s="67"/>
      <c r="FJ80" s="40">
        <f t="shared" si="82"/>
        <v>0</v>
      </c>
      <c r="FL80" s="85">
        <v>56963</v>
      </c>
      <c r="FM80" s="67"/>
      <c r="FN80" s="67"/>
      <c r="FO80" s="67"/>
      <c r="FP80" s="40">
        <f t="shared" si="83"/>
        <v>0</v>
      </c>
      <c r="FR80" s="85">
        <v>56963</v>
      </c>
      <c r="FS80" s="67"/>
      <c r="FT80" s="67"/>
      <c r="FU80" s="67"/>
      <c r="FV80" s="67"/>
      <c r="FW80" s="40">
        <f t="shared" si="84"/>
        <v>0</v>
      </c>
      <c r="FY80" s="85">
        <v>56963</v>
      </c>
      <c r="FZ80" s="67"/>
      <c r="GA80" s="67"/>
      <c r="GB80" s="67"/>
      <c r="GC80" s="67"/>
      <c r="GD80" s="40">
        <f t="shared" si="85"/>
        <v>0</v>
      </c>
      <c r="GF80" s="85">
        <v>56963</v>
      </c>
      <c r="GG80" s="67"/>
      <c r="GH80" s="67"/>
      <c r="GI80" s="67"/>
      <c r="GJ80" s="67"/>
      <c r="GK80" s="40">
        <f t="shared" si="86"/>
        <v>0</v>
      </c>
      <c r="GM80" s="85">
        <v>56963</v>
      </c>
      <c r="GN80" s="67"/>
      <c r="GO80" s="67"/>
      <c r="GP80" s="67"/>
      <c r="GQ80" s="67"/>
      <c r="GR80" s="40">
        <f t="shared" si="87"/>
        <v>0</v>
      </c>
    </row>
    <row r="81" spans="2:200" x14ac:dyDescent="0.25">
      <c r="F81" s="85">
        <v>57161</v>
      </c>
      <c r="G81" s="85"/>
      <c r="H81" s="85">
        <v>57146</v>
      </c>
      <c r="I81" s="40">
        <f>SUM(Y80,Y81,AG80:AG81,AO80:AO81,AW80:AW81,BE80:BE81,BM80:BM81,BO80:BO81,BW80:BW81,CE80:CE81,CM80:CM81,CT80:CT81,DA80:DA81,DG80:DG81,DM80:DM81,DT80:DT81,DZ80:DZ81,EG80:EG81,EM80:EM81,ET80:ET81,FA80:FA81,FG80:FG81,FM80:FM81,FS80:FS81,FZ80:FZ81,GG80:GG81,GN80:GN81)</f>
        <v>69562466.799999997</v>
      </c>
      <c r="J81" s="40">
        <f>SUM(AA80,AA81,AI80:AI81,AQ80:AQ81,AY80:AY81,BG80:BG81,BQ80:BQ81,BY80:BY81,CG80:CG81,CO80:CO81,CV80:CV81,DC80:DC81,DI80:DI81,DO80:DO81,DV80:DV81,EB80:EB81,EI80:EI81,EO80:EO81,EV80:EV81,FC80:FC81,FI80:FI81,FO80:FO81,FU80:FU81,GB80:GB81,GI80:GI81,GP80:GP81)</f>
        <v>7000250</v>
      </c>
      <c r="K81" s="40">
        <f>SUM(AB80,AB81,BR80:BR81,BZ80:BZ81,CH80:CH81,CP80:CP81,CW80:CW81,DP80:DP81,EC80:EC81,EP80:EP81,EW80:EW81,FV80:FV81,GC80:GC81,GJ80:GJ81,GQ80:GQ81)</f>
        <v>270677986.60000002</v>
      </c>
      <c r="L81" s="40">
        <f>SUM(AC80,AC81,AS80:AS81,BA80:BA81,BI80:BI81,BS80:BS81,CA80:CA81,CI80:CI81)</f>
        <v>0</v>
      </c>
      <c r="M81" s="40">
        <f>SUM(I81:L81)</f>
        <v>347240703.40000004</v>
      </c>
      <c r="O81" s="85">
        <v>57161</v>
      </c>
      <c r="P81" s="85"/>
      <c r="Q81" s="85">
        <v>57146</v>
      </c>
      <c r="R81" s="40">
        <f t="shared" si="96"/>
        <v>26618429.75</v>
      </c>
      <c r="S81" s="40">
        <f t="shared" si="97"/>
        <v>3250125</v>
      </c>
      <c r="T81" s="40">
        <f t="shared" si="98"/>
        <v>128994700</v>
      </c>
      <c r="U81" s="40">
        <f t="shared" si="95"/>
        <v>0</v>
      </c>
      <c r="V81" s="40">
        <f t="shared" si="88"/>
        <v>158863254.75</v>
      </c>
      <c r="X81" s="85">
        <v>57146</v>
      </c>
      <c r="Y81" s="40"/>
      <c r="Z81" s="101"/>
      <c r="AA81" s="40">
        <f t="shared" si="89"/>
        <v>0</v>
      </c>
      <c r="AB81" s="40">
        <v>0</v>
      </c>
      <c r="AC81" s="40"/>
      <c r="AD81" s="40">
        <f t="shared" si="92"/>
        <v>0</v>
      </c>
      <c r="AF81" s="85">
        <v>57146</v>
      </c>
      <c r="AG81" s="40"/>
      <c r="AH81" s="101"/>
      <c r="AI81" s="40">
        <f t="shared" si="68"/>
        <v>0</v>
      </c>
      <c r="AJ81" s="40">
        <v>0</v>
      </c>
      <c r="AK81" s="40"/>
      <c r="AL81" s="40">
        <f t="shared" si="71"/>
        <v>0</v>
      </c>
      <c r="AN81" s="85">
        <v>57146</v>
      </c>
      <c r="AO81" s="40">
        <v>0</v>
      </c>
      <c r="AP81" s="101"/>
      <c r="AQ81" s="40">
        <f t="shared" si="69"/>
        <v>0</v>
      </c>
      <c r="AR81" s="40">
        <v>0</v>
      </c>
      <c r="AS81" s="40"/>
      <c r="AT81" s="40">
        <f t="shared" si="72"/>
        <v>0</v>
      </c>
      <c r="AV81" s="85">
        <v>57146</v>
      </c>
      <c r="AW81" s="40">
        <v>0</v>
      </c>
      <c r="AX81" s="101"/>
      <c r="AY81" s="40">
        <f t="shared" si="93"/>
        <v>0</v>
      </c>
      <c r="AZ81" s="40">
        <v>0</v>
      </c>
      <c r="BA81" s="40"/>
      <c r="BB81" s="40">
        <f t="shared" si="90"/>
        <v>0</v>
      </c>
      <c r="BD81" s="85">
        <v>57146</v>
      </c>
      <c r="BE81" s="40">
        <v>0</v>
      </c>
      <c r="BF81" s="101"/>
      <c r="BG81" s="40">
        <f t="shared" si="94"/>
        <v>0</v>
      </c>
      <c r="BH81" s="40">
        <v>0</v>
      </c>
      <c r="BI81" s="40"/>
      <c r="BJ81" s="40">
        <f t="shared" si="91"/>
        <v>0</v>
      </c>
      <c r="BL81" s="85">
        <v>57146</v>
      </c>
      <c r="BM81" s="40"/>
      <c r="BN81" s="101"/>
      <c r="BO81" s="40"/>
      <c r="BP81" s="101"/>
      <c r="BQ81" s="40">
        <f t="shared" si="67"/>
        <v>0</v>
      </c>
      <c r="BR81" s="40"/>
      <c r="BS81" s="40"/>
      <c r="BT81" s="40">
        <f t="shared" si="73"/>
        <v>0</v>
      </c>
      <c r="BV81" s="85">
        <v>57146</v>
      </c>
      <c r="BW81" s="40"/>
      <c r="BX81" s="40"/>
      <c r="BY81" s="40"/>
      <c r="BZ81" s="40"/>
      <c r="CA81" s="40"/>
      <c r="CB81" s="40">
        <f t="shared" si="70"/>
        <v>0</v>
      </c>
      <c r="CD81" s="85">
        <v>57146</v>
      </c>
      <c r="CE81" s="40">
        <v>1323300</v>
      </c>
      <c r="CF81" s="101">
        <v>5.2499999999999998E-2</v>
      </c>
      <c r="CG81" s="40">
        <v>3250125</v>
      </c>
      <c r="CH81" s="40">
        <v>8420900</v>
      </c>
      <c r="CI81" s="40"/>
      <c r="CJ81" s="40">
        <f t="shared" si="74"/>
        <v>12994325</v>
      </c>
      <c r="CL81" s="85">
        <v>57146</v>
      </c>
      <c r="CM81" s="40">
        <v>25295129.75</v>
      </c>
      <c r="CN81" s="101">
        <v>4.5999999999999999E-2</v>
      </c>
      <c r="CO81" s="40">
        <v>0</v>
      </c>
      <c r="CP81" s="40">
        <v>120573800</v>
      </c>
      <c r="CQ81" s="40">
        <f t="shared" si="75"/>
        <v>145868929.75</v>
      </c>
      <c r="CS81" s="85">
        <v>57146</v>
      </c>
      <c r="CT81" s="40"/>
      <c r="CU81" s="40"/>
      <c r="CV81" s="40"/>
      <c r="CW81" s="40"/>
      <c r="CX81" s="40">
        <f t="shared" si="76"/>
        <v>0</v>
      </c>
      <c r="CZ81" s="85">
        <v>57146</v>
      </c>
      <c r="DB81" s="40"/>
      <c r="DD81" s="40">
        <f t="shared" si="77"/>
        <v>0</v>
      </c>
      <c r="DF81" s="85">
        <v>57146</v>
      </c>
      <c r="DJ81" s="40">
        <f t="shared" si="78"/>
        <v>0</v>
      </c>
      <c r="DL81" s="85">
        <v>57146</v>
      </c>
      <c r="DM81" s="40"/>
      <c r="DN81" s="87"/>
      <c r="DO81" s="40"/>
      <c r="DP81" s="40"/>
      <c r="DQ81" s="40">
        <f t="shared" si="65"/>
        <v>0</v>
      </c>
      <c r="DS81" s="85">
        <v>57146</v>
      </c>
      <c r="DU81" s="87"/>
      <c r="DY81" s="85">
        <v>57146</v>
      </c>
      <c r="DZ81" s="40"/>
      <c r="EA81" s="87"/>
      <c r="EB81" s="40"/>
      <c r="ED81" s="40">
        <f t="shared" si="79"/>
        <v>0</v>
      </c>
      <c r="EF81" s="85">
        <v>57146</v>
      </c>
      <c r="EG81" s="40"/>
      <c r="EH81" s="87"/>
      <c r="EI81" s="40"/>
      <c r="EJ81" s="40">
        <f t="shared" si="80"/>
        <v>0</v>
      </c>
      <c r="EL81" s="85">
        <v>57146</v>
      </c>
      <c r="EN81" s="87"/>
      <c r="EQ81" s="40">
        <f t="shared" si="81"/>
        <v>0</v>
      </c>
      <c r="ES81" s="85">
        <v>57146</v>
      </c>
      <c r="EU81" s="87"/>
      <c r="EX81" s="40">
        <f t="shared" si="66"/>
        <v>0</v>
      </c>
      <c r="EZ81" s="85">
        <v>57146</v>
      </c>
      <c r="FA81" s="67"/>
      <c r="FB81" s="67"/>
      <c r="FC81" s="67"/>
      <c r="FD81" s="67"/>
      <c r="FF81" s="85">
        <v>57146</v>
      </c>
      <c r="FG81" s="67"/>
      <c r="FH81" s="67"/>
      <c r="FI81" s="67"/>
      <c r="FJ81" s="40">
        <f t="shared" si="82"/>
        <v>0</v>
      </c>
      <c r="FL81" s="85">
        <v>57146</v>
      </c>
      <c r="FM81" s="67"/>
      <c r="FN81" s="67"/>
      <c r="FO81" s="67"/>
      <c r="FP81" s="40">
        <f t="shared" si="83"/>
        <v>0</v>
      </c>
      <c r="FR81" s="85">
        <v>57146</v>
      </c>
      <c r="FS81" s="67"/>
      <c r="FT81" s="67"/>
      <c r="FU81" s="67"/>
      <c r="FV81" s="67"/>
      <c r="FW81" s="40">
        <f t="shared" si="84"/>
        <v>0</v>
      </c>
      <c r="FY81" s="85">
        <v>57146</v>
      </c>
      <c r="FZ81" s="67"/>
      <c r="GA81" s="67"/>
      <c r="GB81" s="67"/>
      <c r="GC81" s="67"/>
      <c r="GD81" s="40">
        <f t="shared" si="85"/>
        <v>0</v>
      </c>
      <c r="GF81" s="85">
        <v>57146</v>
      </c>
      <c r="GG81" s="67"/>
      <c r="GH81" s="67"/>
      <c r="GI81" s="67"/>
      <c r="GJ81" s="67"/>
      <c r="GK81" s="40">
        <f t="shared" si="86"/>
        <v>0</v>
      </c>
      <c r="GM81" s="85">
        <v>57146</v>
      </c>
      <c r="GN81" s="67"/>
      <c r="GO81" s="67"/>
      <c r="GP81" s="67"/>
      <c r="GQ81" s="67"/>
      <c r="GR81" s="40">
        <f t="shared" si="87"/>
        <v>0</v>
      </c>
    </row>
    <row r="82" spans="2:200" x14ac:dyDescent="0.25">
      <c r="F82" s="85">
        <v>57345</v>
      </c>
      <c r="G82" s="85"/>
      <c r="H82" s="85">
        <v>57329</v>
      </c>
      <c r="I82" s="40"/>
      <c r="O82" s="85">
        <v>57345</v>
      </c>
      <c r="P82" s="85"/>
      <c r="Q82" s="85">
        <v>57329</v>
      </c>
      <c r="R82" s="40">
        <f t="shared" si="96"/>
        <v>36621670.25</v>
      </c>
      <c r="S82" s="40">
        <f t="shared" si="97"/>
        <v>3250125</v>
      </c>
      <c r="T82" s="40">
        <f t="shared" si="98"/>
        <v>175418329.75</v>
      </c>
      <c r="U82" s="40">
        <f t="shared" si="95"/>
        <v>0</v>
      </c>
      <c r="V82" s="40">
        <f t="shared" si="88"/>
        <v>215290125</v>
      </c>
      <c r="X82" s="85">
        <v>57329</v>
      </c>
      <c r="Y82" s="40"/>
      <c r="Z82" s="135"/>
      <c r="AA82" s="40">
        <f t="shared" si="89"/>
        <v>0</v>
      </c>
      <c r="AB82" s="40">
        <v>0</v>
      </c>
      <c r="AC82" s="40"/>
      <c r="AD82" s="40">
        <f t="shared" si="92"/>
        <v>0</v>
      </c>
      <c r="AF82" s="85">
        <v>57329</v>
      </c>
      <c r="AG82" s="40"/>
      <c r="AH82" s="135"/>
      <c r="AI82" s="40">
        <f t="shared" si="68"/>
        <v>0</v>
      </c>
      <c r="AJ82" s="40">
        <v>0</v>
      </c>
      <c r="AK82" s="40"/>
      <c r="AL82" s="40">
        <f t="shared" si="71"/>
        <v>0</v>
      </c>
      <c r="AN82" s="85">
        <v>57329</v>
      </c>
      <c r="AO82" s="40">
        <v>0</v>
      </c>
      <c r="AP82" s="135"/>
      <c r="AQ82" s="40">
        <f t="shared" si="69"/>
        <v>0</v>
      </c>
      <c r="AR82" s="40">
        <v>0</v>
      </c>
      <c r="AS82" s="40"/>
      <c r="AT82" s="40">
        <f t="shared" si="72"/>
        <v>0</v>
      </c>
      <c r="AV82" s="85">
        <v>57329</v>
      </c>
      <c r="AW82" s="40">
        <v>0</v>
      </c>
      <c r="AX82" s="135"/>
      <c r="AY82" s="40">
        <f t="shared" si="93"/>
        <v>0</v>
      </c>
      <c r="AZ82" s="40">
        <v>0</v>
      </c>
      <c r="BA82" s="40"/>
      <c r="BB82" s="40">
        <f t="shared" si="90"/>
        <v>0</v>
      </c>
      <c r="BD82" s="85">
        <v>57329</v>
      </c>
      <c r="BE82" s="40">
        <v>0</v>
      </c>
      <c r="BF82" s="135"/>
      <c r="BG82" s="40">
        <f t="shared" si="94"/>
        <v>0</v>
      </c>
      <c r="BH82" s="40">
        <v>0</v>
      </c>
      <c r="BI82" s="40"/>
      <c r="BJ82" s="40">
        <f t="shared" si="91"/>
        <v>0</v>
      </c>
      <c r="BL82" s="85">
        <v>57329</v>
      </c>
      <c r="BM82" s="40"/>
      <c r="BN82" s="101"/>
      <c r="BO82" s="40"/>
      <c r="BP82" s="101"/>
      <c r="BQ82" s="40">
        <f t="shared" si="67"/>
        <v>0</v>
      </c>
      <c r="BR82" s="40"/>
      <c r="BS82" s="40"/>
      <c r="BT82" s="40">
        <f t="shared" si="73"/>
        <v>0</v>
      </c>
      <c r="BV82" s="85">
        <v>57329</v>
      </c>
      <c r="BW82" s="40"/>
      <c r="BX82" s="40"/>
      <c r="BY82" s="40"/>
      <c r="BZ82" s="40"/>
      <c r="CA82" s="40"/>
      <c r="CB82" s="40">
        <f t="shared" si="70"/>
        <v>0</v>
      </c>
      <c r="CD82" s="85">
        <v>57329</v>
      </c>
      <c r="CE82" s="40">
        <v>2588300</v>
      </c>
      <c r="CF82" s="135" t="s">
        <v>94</v>
      </c>
      <c r="CG82" s="40">
        <v>3250125</v>
      </c>
      <c r="CH82" s="40">
        <v>8676700</v>
      </c>
      <c r="CI82" s="40"/>
      <c r="CJ82" s="40">
        <f t="shared" si="74"/>
        <v>14515125</v>
      </c>
      <c r="CL82" s="85">
        <v>57329</v>
      </c>
      <c r="CM82" s="40">
        <v>34033370.25</v>
      </c>
      <c r="CN82" s="101">
        <v>4.5999999999999999E-2</v>
      </c>
      <c r="CO82" s="40">
        <v>0</v>
      </c>
      <c r="CP82" s="40">
        <v>166741629.75</v>
      </c>
      <c r="CQ82" s="40">
        <f t="shared" si="75"/>
        <v>200775000</v>
      </c>
      <c r="CS82" s="85">
        <v>57329</v>
      </c>
      <c r="CT82" s="40"/>
      <c r="CU82" s="40"/>
      <c r="CV82" s="40"/>
      <c r="CW82" s="40"/>
      <c r="CX82" s="40">
        <f t="shared" si="76"/>
        <v>0</v>
      </c>
      <c r="CZ82" s="85">
        <v>57329</v>
      </c>
      <c r="DB82" s="40"/>
      <c r="DD82" s="40">
        <f t="shared" si="77"/>
        <v>0</v>
      </c>
      <c r="DF82" s="85">
        <v>57329</v>
      </c>
      <c r="DJ82" s="40">
        <f t="shared" si="78"/>
        <v>0</v>
      </c>
      <c r="DL82" s="85">
        <v>57329</v>
      </c>
      <c r="DM82" s="40"/>
      <c r="DN82" s="87"/>
      <c r="DO82" s="40"/>
      <c r="DP82" s="40"/>
      <c r="DQ82" s="40">
        <f t="shared" si="65"/>
        <v>0</v>
      </c>
      <c r="DS82" s="85">
        <v>57329</v>
      </c>
      <c r="DU82" s="87"/>
      <c r="DY82" s="85">
        <v>57329</v>
      </c>
      <c r="DZ82" s="40"/>
      <c r="EA82" s="87"/>
      <c r="EB82" s="40"/>
      <c r="ED82" s="40">
        <f t="shared" si="79"/>
        <v>0</v>
      </c>
      <c r="EF82" s="85">
        <v>57329</v>
      </c>
      <c r="EG82" s="40"/>
      <c r="EH82" s="87"/>
      <c r="EI82" s="40"/>
      <c r="EJ82" s="40">
        <f t="shared" si="80"/>
        <v>0</v>
      </c>
      <c r="EL82" s="85">
        <v>57329</v>
      </c>
      <c r="EN82" s="87"/>
      <c r="EQ82" s="40">
        <f t="shared" si="81"/>
        <v>0</v>
      </c>
      <c r="ES82" s="85">
        <v>57329</v>
      </c>
      <c r="EU82" s="87"/>
      <c r="EX82" s="40">
        <f t="shared" si="66"/>
        <v>0</v>
      </c>
      <c r="EZ82" s="85">
        <v>57329</v>
      </c>
      <c r="FA82" s="67"/>
      <c r="FB82" s="67"/>
      <c r="FC82" s="67"/>
      <c r="FD82" s="67"/>
      <c r="FF82" s="85">
        <v>57329</v>
      </c>
      <c r="FG82" s="67"/>
      <c r="FH82" s="67"/>
      <c r="FI82" s="67"/>
      <c r="FJ82" s="40">
        <f t="shared" si="82"/>
        <v>0</v>
      </c>
      <c r="FL82" s="85">
        <v>57329</v>
      </c>
      <c r="FM82" s="67"/>
      <c r="FN82" s="67"/>
      <c r="FO82" s="67"/>
      <c r="FP82" s="40">
        <f t="shared" si="83"/>
        <v>0</v>
      </c>
      <c r="FR82" s="85">
        <v>57329</v>
      </c>
      <c r="FS82" s="67"/>
      <c r="FT82" s="67"/>
      <c r="FU82" s="67"/>
      <c r="FV82" s="67"/>
      <c r="FW82" s="40">
        <f t="shared" si="84"/>
        <v>0</v>
      </c>
      <c r="FY82" s="85">
        <v>57329</v>
      </c>
      <c r="FZ82" s="67"/>
      <c r="GA82" s="67"/>
      <c r="GB82" s="67"/>
      <c r="GC82" s="67"/>
      <c r="GD82" s="40">
        <f t="shared" si="85"/>
        <v>0</v>
      </c>
      <c r="GF82" s="85">
        <v>57329</v>
      </c>
      <c r="GG82" s="67"/>
      <c r="GH82" s="67"/>
      <c r="GI82" s="67"/>
      <c r="GJ82" s="67"/>
      <c r="GK82" s="40">
        <f t="shared" si="86"/>
        <v>0</v>
      </c>
      <c r="GM82" s="85">
        <v>57329</v>
      </c>
      <c r="GN82" s="67"/>
      <c r="GO82" s="67"/>
      <c r="GP82" s="67"/>
      <c r="GQ82" s="67"/>
      <c r="GR82" s="40">
        <f t="shared" si="87"/>
        <v>0</v>
      </c>
    </row>
    <row r="83" spans="2:200" x14ac:dyDescent="0.25">
      <c r="F83" s="85">
        <v>57526</v>
      </c>
      <c r="G83" s="85"/>
      <c r="H83" s="85">
        <v>57511</v>
      </c>
      <c r="I83" s="40">
        <f>SUM(Y82,Y83,AG82:AG83,AO82:AO83,AW82:AW83,BE82:BE83,BM82:BM83,BO82:BO83,BW82:BW83,CE82:CE83,CM82:CM83,CT82:CT83,DA82:DA83,DG82:DG83,DM82:DM83,DT82:DT83,DZ82:DZ83,EG82:EG83,EM82:EM83,ET82:ET83,FA82:FA83,FG82:FG83,FM82:FM83,FS82:FS83,FZ82:FZ83,GG82:GG83,GN82:GN83)</f>
        <v>165361670.25</v>
      </c>
      <c r="J83" s="40">
        <f>SUM(AA82,AA83,AI82:AI83,AQ82:AQ83,AY82:AY83,BG82:BG83,BQ82:BQ83,BY82:BY83,CG82:CG83,CO82:CO83,CV82:CV83,DC82:DC83,DI82:DI83,DO82:DO83,DV82:DV83,EB82:EB83,EI82:EI83,EO82:EO83,EV82:EV83,FC82:FC83,FI82:FI83,FO82:FO83,FU82:FU83,GB82:GB83,GI82:GI83,GP82:GP83)</f>
        <v>6468625</v>
      </c>
      <c r="K83" s="40">
        <f>SUM(AB82,AB83,BR82:BR83,BZ82:BZ83,CH82:CH83,CP82:CP83,CW82:CW83,DP82:DP83,EC82:EC83,EP82:EP83,EW82:EW83,FV82:FV83,GC82:GC83,GJ82:GJ83,GQ82:GQ83)</f>
        <v>175418329.75</v>
      </c>
      <c r="L83" s="40">
        <f>SUM(AC82,AC83,AS82:AS83,BA82:BA83,BI82:BI83,BS82:BS83,CA82:CA83,CI82:CI83)</f>
        <v>0</v>
      </c>
      <c r="M83" s="40">
        <f>SUM(I83:L83)</f>
        <v>347248625</v>
      </c>
      <c r="O83" s="85">
        <v>57526</v>
      </c>
      <c r="P83" s="85"/>
      <c r="Q83" s="85">
        <v>57511</v>
      </c>
      <c r="R83" s="40">
        <f t="shared" si="96"/>
        <v>128740000</v>
      </c>
      <c r="S83" s="40">
        <f t="shared" si="97"/>
        <v>3218500</v>
      </c>
      <c r="T83" s="40">
        <f t="shared" si="98"/>
        <v>0</v>
      </c>
      <c r="U83" s="40">
        <f t="shared" si="95"/>
        <v>0</v>
      </c>
      <c r="V83" s="40">
        <f t="shared" si="88"/>
        <v>131958500</v>
      </c>
      <c r="X83" s="85">
        <v>57511</v>
      </c>
      <c r="Y83" s="40"/>
      <c r="Z83" s="101"/>
      <c r="AA83" s="40">
        <f t="shared" si="89"/>
        <v>0</v>
      </c>
      <c r="AB83" s="40">
        <v>0</v>
      </c>
      <c r="AC83" s="40"/>
      <c r="AD83" s="40">
        <f t="shared" si="92"/>
        <v>0</v>
      </c>
      <c r="AF83" s="85">
        <v>57511</v>
      </c>
      <c r="AG83" s="40"/>
      <c r="AH83" s="101"/>
      <c r="AI83" s="40">
        <f t="shared" si="68"/>
        <v>0</v>
      </c>
      <c r="AJ83" s="40">
        <v>0</v>
      </c>
      <c r="AK83" s="40"/>
      <c r="AL83" s="40">
        <f t="shared" si="71"/>
        <v>0</v>
      </c>
      <c r="AN83" s="85">
        <v>57511</v>
      </c>
      <c r="AO83" s="40">
        <v>0</v>
      </c>
      <c r="AP83" s="101"/>
      <c r="AQ83" s="40">
        <f t="shared" si="69"/>
        <v>0</v>
      </c>
      <c r="AR83" s="40">
        <v>0</v>
      </c>
      <c r="AS83" s="40"/>
      <c r="AT83" s="40">
        <f t="shared" si="72"/>
        <v>0</v>
      </c>
      <c r="AV83" s="85">
        <v>57511</v>
      </c>
      <c r="AW83" s="40">
        <v>0</v>
      </c>
      <c r="AX83" s="101"/>
      <c r="AY83" s="40">
        <f t="shared" si="93"/>
        <v>0</v>
      </c>
      <c r="AZ83" s="40">
        <v>0</v>
      </c>
      <c r="BA83" s="40"/>
      <c r="BB83" s="40">
        <f t="shared" si="90"/>
        <v>0</v>
      </c>
      <c r="BD83" s="85">
        <v>57511</v>
      </c>
      <c r="BE83" s="40">
        <v>0</v>
      </c>
      <c r="BF83" s="101"/>
      <c r="BG83" s="40">
        <f t="shared" si="94"/>
        <v>0</v>
      </c>
      <c r="BH83" s="40">
        <v>0</v>
      </c>
      <c r="BI83" s="40"/>
      <c r="BJ83" s="40">
        <f t="shared" si="91"/>
        <v>0</v>
      </c>
      <c r="BL83" s="85">
        <v>57511</v>
      </c>
      <c r="BM83" s="40"/>
      <c r="BN83" s="101"/>
      <c r="BO83" s="40"/>
      <c r="BP83" s="101"/>
      <c r="BQ83" s="40">
        <f t="shared" si="67"/>
        <v>0</v>
      </c>
      <c r="BR83" s="40"/>
      <c r="BS83" s="40"/>
      <c r="BT83" s="40">
        <f t="shared" si="73"/>
        <v>0</v>
      </c>
      <c r="BV83" s="85">
        <v>57511</v>
      </c>
      <c r="BW83" s="40"/>
      <c r="BX83" s="40"/>
      <c r="BY83" s="40"/>
      <c r="BZ83" s="40"/>
      <c r="CA83" s="40"/>
      <c r="CB83" s="40">
        <f t="shared" si="70"/>
        <v>0</v>
      </c>
      <c r="CD83" s="85">
        <v>57511</v>
      </c>
      <c r="CE83" s="40">
        <v>128740000</v>
      </c>
      <c r="CF83" s="101">
        <v>0.05</v>
      </c>
      <c r="CG83" s="40">
        <v>3218500</v>
      </c>
      <c r="CH83" s="40">
        <v>0</v>
      </c>
      <c r="CI83" s="40"/>
      <c r="CJ83" s="40">
        <f t="shared" si="74"/>
        <v>131958500</v>
      </c>
      <c r="CL83" s="85">
        <v>57511</v>
      </c>
      <c r="CM83" s="40">
        <v>0</v>
      </c>
      <c r="CN83" s="101"/>
      <c r="CO83" s="40">
        <v>0</v>
      </c>
      <c r="CP83" s="40">
        <v>0</v>
      </c>
      <c r="CQ83" s="40">
        <f t="shared" si="75"/>
        <v>0</v>
      </c>
      <c r="CS83" s="85">
        <v>57511</v>
      </c>
      <c r="CT83" s="40"/>
      <c r="CU83" s="40"/>
      <c r="CV83" s="40"/>
      <c r="CW83" s="40"/>
      <c r="CX83" s="40">
        <f t="shared" si="76"/>
        <v>0</v>
      </c>
      <c r="CZ83" s="85">
        <v>57511</v>
      </c>
      <c r="DB83" s="40"/>
      <c r="DD83" s="40">
        <f t="shared" si="77"/>
        <v>0</v>
      </c>
      <c r="DF83" s="85">
        <v>57511</v>
      </c>
      <c r="DJ83" s="40">
        <f t="shared" si="78"/>
        <v>0</v>
      </c>
      <c r="DL83" s="85">
        <v>57511</v>
      </c>
      <c r="DM83" s="40"/>
      <c r="DN83" s="87"/>
      <c r="DO83" s="40"/>
      <c r="DP83" s="40"/>
      <c r="DQ83" s="40">
        <f t="shared" si="65"/>
        <v>0</v>
      </c>
      <c r="DS83" s="85">
        <v>57511</v>
      </c>
      <c r="DU83" s="87"/>
      <c r="DY83" s="85">
        <v>57511</v>
      </c>
      <c r="DZ83" s="40"/>
      <c r="EA83" s="87"/>
      <c r="EB83" s="40"/>
      <c r="ED83" s="40">
        <f t="shared" si="79"/>
        <v>0</v>
      </c>
      <c r="EF83" s="85">
        <v>57511</v>
      </c>
      <c r="EG83" s="40"/>
      <c r="EH83" s="87"/>
      <c r="EI83" s="40"/>
      <c r="EJ83" s="40">
        <f t="shared" si="80"/>
        <v>0</v>
      </c>
      <c r="EL83" s="85">
        <v>57511</v>
      </c>
      <c r="EN83" s="87"/>
      <c r="EQ83" s="40">
        <f t="shared" si="81"/>
        <v>0</v>
      </c>
      <c r="ES83" s="85">
        <v>57511</v>
      </c>
      <c r="EU83" s="87"/>
      <c r="EX83" s="40">
        <f t="shared" si="66"/>
        <v>0</v>
      </c>
      <c r="EZ83" s="85">
        <v>57511</v>
      </c>
      <c r="FA83" s="67"/>
      <c r="FB83" s="67"/>
      <c r="FC83" s="67"/>
      <c r="FD83" s="67"/>
      <c r="FF83" s="85">
        <v>57511</v>
      </c>
      <c r="FG83" s="67"/>
      <c r="FH83" s="67"/>
      <c r="FI83" s="67"/>
      <c r="FJ83" s="40">
        <f t="shared" si="82"/>
        <v>0</v>
      </c>
      <c r="FL83" s="85">
        <v>57511</v>
      </c>
      <c r="FM83" s="67"/>
      <c r="FN83" s="67"/>
      <c r="FO83" s="67"/>
      <c r="FP83" s="40">
        <f t="shared" si="83"/>
        <v>0</v>
      </c>
      <c r="FR83" s="85">
        <v>57511</v>
      </c>
      <c r="FS83" s="67"/>
      <c r="FT83" s="67"/>
      <c r="FU83" s="67"/>
      <c r="FV83" s="67"/>
      <c r="FW83" s="40">
        <f t="shared" si="84"/>
        <v>0</v>
      </c>
      <c r="FY83" s="85">
        <v>57511</v>
      </c>
      <c r="FZ83" s="67"/>
      <c r="GA83" s="67"/>
      <c r="GB83" s="67"/>
      <c r="GC83" s="67"/>
      <c r="GD83" s="40">
        <f t="shared" si="85"/>
        <v>0</v>
      </c>
      <c r="GF83" s="85">
        <v>57511</v>
      </c>
      <c r="GG83" s="67"/>
      <c r="GH83" s="67"/>
      <c r="GI83" s="67"/>
      <c r="GJ83" s="67"/>
      <c r="GK83" s="40">
        <f t="shared" si="86"/>
        <v>0</v>
      </c>
      <c r="GM83" s="85">
        <v>57511</v>
      </c>
      <c r="GN83" s="67"/>
      <c r="GO83" s="67"/>
      <c r="GP83" s="67"/>
      <c r="GQ83" s="67"/>
      <c r="GR83" s="40">
        <f t="shared" si="87"/>
        <v>0</v>
      </c>
    </row>
    <row r="84" spans="2:200" x14ac:dyDescent="0.25">
      <c r="F84" s="85">
        <v>57710</v>
      </c>
      <c r="G84" s="85"/>
      <c r="H84" s="85">
        <v>57694</v>
      </c>
      <c r="I84" s="40"/>
      <c r="O84" s="85">
        <v>57710</v>
      </c>
      <c r="P84" s="85"/>
      <c r="Q84" s="85">
        <v>57694</v>
      </c>
      <c r="R84" s="40">
        <f t="shared" si="96"/>
        <v>0</v>
      </c>
      <c r="S84" s="40">
        <f t="shared" si="97"/>
        <v>0</v>
      </c>
      <c r="T84" s="40">
        <f t="shared" si="98"/>
        <v>0</v>
      </c>
      <c r="U84" s="40">
        <f t="shared" si="95"/>
        <v>0</v>
      </c>
      <c r="V84" s="40">
        <f t="shared" si="88"/>
        <v>0</v>
      </c>
      <c r="X84" s="85">
        <v>57694</v>
      </c>
      <c r="Y84" s="40"/>
      <c r="Z84" s="101"/>
      <c r="AA84" s="40">
        <f t="shared" si="89"/>
        <v>0</v>
      </c>
      <c r="AB84" s="40">
        <v>0</v>
      </c>
      <c r="AC84" s="40"/>
      <c r="AD84" s="40">
        <f t="shared" si="92"/>
        <v>0</v>
      </c>
      <c r="AF84" s="85">
        <v>57694</v>
      </c>
      <c r="AG84" s="40"/>
      <c r="AH84" s="101"/>
      <c r="AI84" s="40">
        <f t="shared" si="68"/>
        <v>0</v>
      </c>
      <c r="AJ84" s="40">
        <v>0</v>
      </c>
      <c r="AK84" s="40"/>
      <c r="AL84" s="40">
        <f t="shared" si="71"/>
        <v>0</v>
      </c>
      <c r="AN84" s="85">
        <v>57694</v>
      </c>
      <c r="AO84" s="40">
        <v>0</v>
      </c>
      <c r="AP84" s="101"/>
      <c r="AQ84" s="40">
        <f t="shared" si="69"/>
        <v>0</v>
      </c>
      <c r="AR84" s="40">
        <v>0</v>
      </c>
      <c r="AS84" s="40"/>
      <c r="AT84" s="40">
        <f t="shared" si="72"/>
        <v>0</v>
      </c>
      <c r="AV84" s="85">
        <v>57694</v>
      </c>
      <c r="AW84" s="40">
        <v>0</v>
      </c>
      <c r="AX84" s="101"/>
      <c r="AY84" s="40">
        <f t="shared" si="93"/>
        <v>0</v>
      </c>
      <c r="AZ84" s="40">
        <v>0</v>
      </c>
      <c r="BA84" s="40"/>
      <c r="BB84" s="40">
        <f t="shared" si="90"/>
        <v>0</v>
      </c>
      <c r="BD84" s="85">
        <v>57694</v>
      </c>
      <c r="BE84" s="40">
        <v>0</v>
      </c>
      <c r="BF84" s="101"/>
      <c r="BG84" s="40">
        <f t="shared" si="94"/>
        <v>0</v>
      </c>
      <c r="BH84" s="40">
        <v>0</v>
      </c>
      <c r="BI84" s="40"/>
      <c r="BJ84" s="40">
        <f t="shared" si="91"/>
        <v>0</v>
      </c>
      <c r="BL84" s="85">
        <v>57694</v>
      </c>
      <c r="BM84" s="40"/>
      <c r="BN84" s="101"/>
      <c r="BO84" s="40"/>
      <c r="BP84" s="101"/>
      <c r="BQ84" s="40">
        <f t="shared" si="67"/>
        <v>0</v>
      </c>
      <c r="BR84" s="40"/>
      <c r="BS84" s="40"/>
      <c r="BT84" s="40">
        <f t="shared" si="73"/>
        <v>0</v>
      </c>
      <c r="BV84" s="85">
        <v>57694</v>
      </c>
      <c r="BW84" s="40"/>
      <c r="BX84" s="40"/>
      <c r="BY84" s="40"/>
      <c r="BZ84" s="40"/>
      <c r="CA84" s="40"/>
      <c r="CB84" s="40">
        <f t="shared" si="70"/>
        <v>0</v>
      </c>
      <c r="CD84" s="85">
        <v>57694</v>
      </c>
      <c r="CE84" s="40">
        <v>0</v>
      </c>
      <c r="CG84" s="40">
        <v>0</v>
      </c>
      <c r="CH84" s="40">
        <v>0</v>
      </c>
      <c r="CI84" s="40"/>
      <c r="CJ84" s="40">
        <f t="shared" si="74"/>
        <v>0</v>
      </c>
      <c r="CL84" s="85">
        <v>57694</v>
      </c>
      <c r="CM84" s="40">
        <v>0</v>
      </c>
      <c r="CN84" s="101"/>
      <c r="CO84" s="40">
        <v>0</v>
      </c>
      <c r="CP84" s="40">
        <v>0</v>
      </c>
      <c r="CQ84" s="40">
        <f t="shared" si="75"/>
        <v>0</v>
      </c>
      <c r="CS84" s="85">
        <v>57694</v>
      </c>
      <c r="CT84" s="40"/>
      <c r="CU84" s="40"/>
      <c r="CV84" s="40"/>
      <c r="CW84" s="40"/>
      <c r="CX84" s="40">
        <f t="shared" si="76"/>
        <v>0</v>
      </c>
      <c r="CZ84" s="85">
        <v>57694</v>
      </c>
      <c r="DB84" s="40"/>
      <c r="DD84" s="40">
        <f t="shared" si="77"/>
        <v>0</v>
      </c>
      <c r="DF84" s="85">
        <v>57694</v>
      </c>
      <c r="DJ84" s="40">
        <f t="shared" si="78"/>
        <v>0</v>
      </c>
      <c r="DL84" s="85">
        <v>57694</v>
      </c>
      <c r="DM84" s="40"/>
      <c r="DN84" s="87"/>
      <c r="DO84" s="40"/>
      <c r="DP84" s="40"/>
      <c r="DQ84" s="40">
        <f t="shared" si="65"/>
        <v>0</v>
      </c>
      <c r="DS84" s="85">
        <v>57694</v>
      </c>
      <c r="DU84" s="87"/>
      <c r="DY84" s="85">
        <v>57694</v>
      </c>
      <c r="DZ84" s="40"/>
      <c r="EA84" s="87"/>
      <c r="EB84" s="40"/>
      <c r="ED84" s="40">
        <f t="shared" si="79"/>
        <v>0</v>
      </c>
      <c r="EF84" s="85">
        <v>57694</v>
      </c>
      <c r="EG84" s="40"/>
      <c r="EH84" s="87"/>
      <c r="EI84" s="40"/>
      <c r="EJ84" s="40">
        <f t="shared" si="80"/>
        <v>0</v>
      </c>
      <c r="EL84" s="85">
        <v>57694</v>
      </c>
      <c r="EN84" s="87"/>
      <c r="EQ84" s="40">
        <f t="shared" si="81"/>
        <v>0</v>
      </c>
      <c r="ES84" s="85">
        <v>57694</v>
      </c>
      <c r="EU84" s="87"/>
      <c r="EX84" s="40">
        <f t="shared" si="66"/>
        <v>0</v>
      </c>
      <c r="EZ84" s="85">
        <v>57694</v>
      </c>
      <c r="FA84" s="67"/>
      <c r="FB84" s="67"/>
      <c r="FC84" s="67"/>
      <c r="FD84" s="67"/>
      <c r="FF84" s="85">
        <v>57694</v>
      </c>
      <c r="FG84" s="67"/>
      <c r="FH84" s="67"/>
      <c r="FI84" s="67"/>
      <c r="FJ84" s="40">
        <f t="shared" si="82"/>
        <v>0</v>
      </c>
      <c r="FL84" s="85">
        <v>57694</v>
      </c>
      <c r="FM84" s="67"/>
      <c r="FN84" s="67"/>
      <c r="FO84" s="67"/>
      <c r="FP84" s="40">
        <f t="shared" si="83"/>
        <v>0</v>
      </c>
      <c r="FR84" s="85">
        <v>57694</v>
      </c>
      <c r="FS84" s="67"/>
      <c r="FT84" s="67"/>
      <c r="FU84" s="67"/>
      <c r="FV84" s="67"/>
      <c r="FW84" s="40">
        <f t="shared" si="84"/>
        <v>0</v>
      </c>
      <c r="FY84" s="85">
        <v>57694</v>
      </c>
      <c r="FZ84" s="67"/>
      <c r="GA84" s="67"/>
      <c r="GB84" s="67"/>
      <c r="GC84" s="67"/>
      <c r="GD84" s="40">
        <f t="shared" si="85"/>
        <v>0</v>
      </c>
      <c r="GF84" s="85">
        <v>57694</v>
      </c>
      <c r="GG84" s="67"/>
      <c r="GH84" s="67"/>
      <c r="GI84" s="67"/>
      <c r="GJ84" s="67"/>
      <c r="GK84" s="40">
        <f t="shared" si="86"/>
        <v>0</v>
      </c>
      <c r="GM84" s="85">
        <v>57694</v>
      </c>
      <c r="GN84" s="67"/>
      <c r="GO84" s="67"/>
      <c r="GP84" s="67"/>
      <c r="GQ84" s="67"/>
      <c r="GR84" s="40">
        <f t="shared" si="87"/>
        <v>0</v>
      </c>
    </row>
    <row r="85" spans="2:200" x14ac:dyDescent="0.25">
      <c r="F85" s="85">
        <v>57891</v>
      </c>
      <c r="G85" s="85"/>
      <c r="H85" s="85">
        <v>57876</v>
      </c>
      <c r="I85" s="40">
        <f t="shared" ref="I85" si="99">SUM(AG84:AG85,AO84:AO85,AW84:AW85,BE84:BE85,BM84:BM85,BO84:BO85,BW84:BW85,CE84:CE85,CM84:CM85,CT84:CT85,DA84:DA85,DG84:DG85,DM84:DM85,DT84:DT85,DZ84:DZ85,EG84:EG85,EM84:EM85,ET84:ET85,FA84:FA85,FG84:FG85,FM84:FM85,FS84:FS85,FZ84:FZ85,GG84:GG85,GN84:GN85)</f>
        <v>0</v>
      </c>
      <c r="J85" s="40">
        <f t="shared" ref="J85" si="100">SUM(AI84:AI85,AQ84:AQ85,AY84:AY85,BG84:BG85,BQ84:BQ85,BY84:BY85,CG84:CG85,CO84:CO85,CV84:CV85,DC84:DC85,DI84:DI85,DO84:DO85,DV84:DV85,EB84:EB85,EI84:EI85,EO84:EO85,EV84:EV85,FC84:FC85,FI84:FI85,FO84:FO85,FU84:FU85,GB84:GB85,GI84:GI85,GP84:GP85)</f>
        <v>0</v>
      </c>
      <c r="K85" s="40">
        <f t="shared" ref="K85" si="101">SUM(BR84:BR85,BZ84:BZ85,CH84:CH85,CP84:CP85,CW84:CW85,DP84:DP85,EC84:EC85,EP84:EP85,EW84:EW85,FV84:FV85,GC84:GC85,GJ84:GJ85,GQ84:GQ85)</f>
        <v>0</v>
      </c>
      <c r="L85" s="40">
        <f t="shared" ref="L85" si="102">SUM(AS84:AS85,BA84:BA85,BI84:BI85,BS84:BS85,CA84:CA85,CI84:CI85)</f>
        <v>0</v>
      </c>
      <c r="M85" s="40">
        <f>SUM(I85:L85)</f>
        <v>0</v>
      </c>
      <c r="O85" s="85">
        <v>57891</v>
      </c>
      <c r="P85" s="85"/>
      <c r="Q85" s="85">
        <v>57876</v>
      </c>
      <c r="R85" s="40">
        <f t="shared" si="96"/>
        <v>0</v>
      </c>
      <c r="S85" s="40">
        <f t="shared" si="97"/>
        <v>0</v>
      </c>
      <c r="T85" s="40">
        <f t="shared" si="98"/>
        <v>0</v>
      </c>
      <c r="U85" s="40">
        <f t="shared" si="95"/>
        <v>0</v>
      </c>
      <c r="V85" s="40">
        <f t="shared" si="88"/>
        <v>0</v>
      </c>
      <c r="X85" s="85">
        <v>57876</v>
      </c>
      <c r="Y85" s="40"/>
      <c r="Z85" s="101"/>
      <c r="AA85" s="40">
        <f t="shared" si="89"/>
        <v>0</v>
      </c>
      <c r="AB85" s="40">
        <v>0</v>
      </c>
      <c r="AC85" s="40"/>
      <c r="AD85" s="40">
        <f t="shared" si="92"/>
        <v>0</v>
      </c>
      <c r="AF85" s="85">
        <v>57876</v>
      </c>
      <c r="AG85" s="40"/>
      <c r="AH85" s="101"/>
      <c r="AI85" s="40">
        <f t="shared" si="68"/>
        <v>0</v>
      </c>
      <c r="AJ85" s="40">
        <v>0</v>
      </c>
      <c r="AK85" s="40"/>
      <c r="AL85" s="40">
        <f t="shared" si="71"/>
        <v>0</v>
      </c>
      <c r="AN85" s="85">
        <v>57876</v>
      </c>
      <c r="AO85" s="40">
        <v>0</v>
      </c>
      <c r="AP85" s="101"/>
      <c r="AQ85" s="40">
        <f t="shared" si="69"/>
        <v>0</v>
      </c>
      <c r="AR85" s="40">
        <v>0</v>
      </c>
      <c r="AS85" s="40"/>
      <c r="AT85" s="40">
        <f t="shared" si="72"/>
        <v>0</v>
      </c>
      <c r="AV85" s="85">
        <v>57876</v>
      </c>
      <c r="AW85" s="40">
        <v>0</v>
      </c>
      <c r="AX85" s="101"/>
      <c r="AY85" s="40">
        <f t="shared" si="93"/>
        <v>0</v>
      </c>
      <c r="AZ85" s="40">
        <v>0</v>
      </c>
      <c r="BA85" s="40"/>
      <c r="BB85" s="40">
        <f t="shared" si="90"/>
        <v>0</v>
      </c>
      <c r="BD85" s="85">
        <v>57876</v>
      </c>
      <c r="BE85" s="40">
        <v>0</v>
      </c>
      <c r="BF85" s="101"/>
      <c r="BG85" s="40">
        <f t="shared" si="94"/>
        <v>0</v>
      </c>
      <c r="BH85" s="40">
        <v>0</v>
      </c>
      <c r="BI85" s="40"/>
      <c r="BJ85" s="40">
        <f t="shared" si="91"/>
        <v>0</v>
      </c>
      <c r="BL85" s="85">
        <v>57876</v>
      </c>
      <c r="BM85" s="40"/>
      <c r="BN85" s="101"/>
      <c r="BO85" s="40"/>
      <c r="BP85" s="101"/>
      <c r="BQ85" s="40">
        <f t="shared" si="67"/>
        <v>0</v>
      </c>
      <c r="BR85" s="40"/>
      <c r="BS85" s="40"/>
      <c r="BT85" s="40">
        <f t="shared" si="73"/>
        <v>0</v>
      </c>
      <c r="BV85" s="85">
        <v>57876</v>
      </c>
      <c r="BW85" s="40"/>
      <c r="BX85" s="40"/>
      <c r="BY85" s="40"/>
      <c r="BZ85" s="40"/>
      <c r="CA85" s="40"/>
      <c r="CB85" s="40">
        <f t="shared" si="70"/>
        <v>0</v>
      </c>
      <c r="CD85" s="85">
        <v>57876</v>
      </c>
      <c r="CE85" s="40">
        <v>0</v>
      </c>
      <c r="CG85" s="40">
        <v>0</v>
      </c>
      <c r="CH85" s="40">
        <v>0</v>
      </c>
      <c r="CI85" s="40"/>
      <c r="CJ85" s="40">
        <f t="shared" si="74"/>
        <v>0</v>
      </c>
      <c r="CL85" s="85">
        <v>57876</v>
      </c>
      <c r="CM85" s="40">
        <v>0</v>
      </c>
      <c r="CN85" s="101"/>
      <c r="CO85" s="40">
        <v>0</v>
      </c>
      <c r="CP85" s="40">
        <v>0</v>
      </c>
      <c r="CQ85" s="40">
        <f t="shared" si="75"/>
        <v>0</v>
      </c>
      <c r="CS85" s="85">
        <v>57876</v>
      </c>
      <c r="CT85" s="40"/>
      <c r="CU85" s="40"/>
      <c r="CV85" s="40"/>
      <c r="CW85" s="40"/>
      <c r="CX85" s="40">
        <f t="shared" si="76"/>
        <v>0</v>
      </c>
      <c r="CZ85" s="85">
        <v>57876</v>
      </c>
      <c r="DB85" s="40"/>
      <c r="DD85" s="40">
        <f t="shared" si="77"/>
        <v>0</v>
      </c>
      <c r="DF85" s="85">
        <v>57876</v>
      </c>
      <c r="DJ85" s="40">
        <f t="shared" si="78"/>
        <v>0</v>
      </c>
      <c r="DL85" s="85">
        <v>57876</v>
      </c>
      <c r="DM85" s="40"/>
      <c r="DN85" s="87"/>
      <c r="DO85" s="40"/>
      <c r="DP85" s="40"/>
      <c r="DQ85" s="40">
        <f t="shared" si="65"/>
        <v>0</v>
      </c>
      <c r="DS85" s="85">
        <v>57876</v>
      </c>
      <c r="DU85" s="87"/>
      <c r="DY85" s="85">
        <v>57876</v>
      </c>
      <c r="DZ85" s="40"/>
      <c r="EA85" s="87"/>
      <c r="EB85" s="40"/>
      <c r="ED85" s="40">
        <f t="shared" si="79"/>
        <v>0</v>
      </c>
      <c r="EF85" s="85">
        <v>57876</v>
      </c>
      <c r="EG85" s="40"/>
      <c r="EH85" s="87"/>
      <c r="EI85" s="40"/>
      <c r="EJ85" s="40">
        <f t="shared" si="80"/>
        <v>0</v>
      </c>
      <c r="EL85" s="85">
        <v>57876</v>
      </c>
      <c r="EN85" s="87"/>
      <c r="EQ85" s="40">
        <f t="shared" si="81"/>
        <v>0</v>
      </c>
      <c r="ES85" s="85">
        <v>57876</v>
      </c>
      <c r="EU85" s="87"/>
      <c r="EX85" s="40">
        <f t="shared" si="66"/>
        <v>0</v>
      </c>
      <c r="EZ85" s="85">
        <v>57876</v>
      </c>
      <c r="FA85" s="67"/>
      <c r="FB85" s="67"/>
      <c r="FC85" s="67"/>
      <c r="FD85" s="67"/>
      <c r="FF85" s="85">
        <v>57876</v>
      </c>
      <c r="FG85" s="67"/>
      <c r="FH85" s="67"/>
      <c r="FI85" s="67"/>
      <c r="FJ85" s="40">
        <f t="shared" si="82"/>
        <v>0</v>
      </c>
      <c r="FL85" s="85">
        <v>57876</v>
      </c>
      <c r="FM85" s="67"/>
      <c r="FN85" s="67"/>
      <c r="FO85" s="67"/>
      <c r="FP85" s="40">
        <f t="shared" si="83"/>
        <v>0</v>
      </c>
      <c r="FR85" s="85">
        <v>57876</v>
      </c>
      <c r="FS85" s="67"/>
      <c r="FT85" s="67"/>
      <c r="FU85" s="67"/>
      <c r="FV85" s="67"/>
      <c r="FW85" s="40">
        <f t="shared" si="84"/>
        <v>0</v>
      </c>
      <c r="FY85" s="85">
        <v>57876</v>
      </c>
      <c r="FZ85" s="67"/>
      <c r="GA85" s="67"/>
      <c r="GB85" s="67"/>
      <c r="GC85" s="67"/>
      <c r="GD85" s="40">
        <f t="shared" si="85"/>
        <v>0</v>
      </c>
      <c r="GF85" s="85">
        <v>57876</v>
      </c>
      <c r="GG85" s="67"/>
      <c r="GH85" s="67"/>
      <c r="GI85" s="67"/>
      <c r="GJ85" s="67"/>
      <c r="GK85" s="40">
        <f t="shared" si="86"/>
        <v>0</v>
      </c>
      <c r="GM85" s="85">
        <v>57876</v>
      </c>
      <c r="GN85" s="67"/>
      <c r="GO85" s="67"/>
      <c r="GP85" s="67"/>
      <c r="GQ85" s="67"/>
      <c r="GR85" s="40">
        <f t="shared" si="87"/>
        <v>0</v>
      </c>
    </row>
    <row r="86" spans="2:200" x14ac:dyDescent="0.25">
      <c r="F86" s="85">
        <v>58075</v>
      </c>
      <c r="G86" s="85"/>
      <c r="H86" s="85">
        <v>58059</v>
      </c>
      <c r="I86" s="40"/>
      <c r="O86" s="85">
        <v>58075</v>
      </c>
      <c r="P86" s="85"/>
      <c r="Q86" s="85">
        <v>58059</v>
      </c>
      <c r="R86" s="40">
        <f t="shared" si="96"/>
        <v>0</v>
      </c>
      <c r="S86" s="40">
        <f t="shared" si="97"/>
        <v>0</v>
      </c>
      <c r="T86" s="40">
        <f t="shared" si="98"/>
        <v>0</v>
      </c>
      <c r="U86" s="40">
        <f t="shared" si="95"/>
        <v>0</v>
      </c>
      <c r="V86" s="40">
        <f t="shared" si="88"/>
        <v>0</v>
      </c>
      <c r="X86" s="85">
        <v>58059</v>
      </c>
      <c r="Y86" s="40"/>
      <c r="Z86" s="101"/>
      <c r="AA86" s="40">
        <f t="shared" si="89"/>
        <v>0</v>
      </c>
      <c r="AB86" s="40">
        <v>0</v>
      </c>
      <c r="AC86" s="40"/>
      <c r="AD86" s="40">
        <f t="shared" si="92"/>
        <v>0</v>
      </c>
      <c r="AF86" s="85">
        <v>58059</v>
      </c>
      <c r="AG86" s="40"/>
      <c r="AH86" s="101"/>
      <c r="AI86" s="40">
        <f t="shared" si="68"/>
        <v>0</v>
      </c>
      <c r="AJ86" s="40">
        <v>0</v>
      </c>
      <c r="AK86" s="40"/>
      <c r="AL86" s="40">
        <f t="shared" si="71"/>
        <v>0</v>
      </c>
      <c r="AN86" s="85">
        <v>58059</v>
      </c>
      <c r="AO86" s="40">
        <v>0</v>
      </c>
      <c r="AP86" s="101"/>
      <c r="AQ86" s="40">
        <f t="shared" si="69"/>
        <v>0</v>
      </c>
      <c r="AR86" s="40">
        <v>0</v>
      </c>
      <c r="AS86" s="40"/>
      <c r="AT86" s="40">
        <f t="shared" si="72"/>
        <v>0</v>
      </c>
      <c r="AV86" s="85">
        <v>58059</v>
      </c>
      <c r="AW86" s="40">
        <v>0</v>
      </c>
      <c r="AX86" s="101"/>
      <c r="AY86" s="40">
        <f t="shared" si="93"/>
        <v>0</v>
      </c>
      <c r="AZ86" s="40">
        <v>0</v>
      </c>
      <c r="BA86" s="40"/>
      <c r="BB86" s="40">
        <f t="shared" si="90"/>
        <v>0</v>
      </c>
      <c r="BD86" s="85">
        <v>58059</v>
      </c>
      <c r="BE86" s="40">
        <v>0</v>
      </c>
      <c r="BF86" s="101"/>
      <c r="BG86" s="40">
        <f t="shared" si="94"/>
        <v>0</v>
      </c>
      <c r="BH86" s="40">
        <v>0</v>
      </c>
      <c r="BI86" s="40"/>
      <c r="BJ86" s="40">
        <f t="shared" si="91"/>
        <v>0</v>
      </c>
      <c r="BL86" s="85">
        <v>58059</v>
      </c>
      <c r="BM86" s="40"/>
      <c r="BN86" s="101"/>
      <c r="BO86" s="40"/>
      <c r="BP86" s="101"/>
      <c r="BQ86" s="40">
        <f t="shared" si="67"/>
        <v>0</v>
      </c>
      <c r="BR86" s="40"/>
      <c r="BS86" s="40"/>
      <c r="BT86" s="40">
        <f t="shared" si="73"/>
        <v>0</v>
      </c>
      <c r="BV86" s="85">
        <v>58059</v>
      </c>
      <c r="BW86" s="40"/>
      <c r="BX86" s="40"/>
      <c r="BY86" s="40"/>
      <c r="BZ86" s="40"/>
      <c r="CA86" s="40"/>
      <c r="CB86" s="40">
        <f t="shared" si="70"/>
        <v>0</v>
      </c>
      <c r="CD86" s="85">
        <v>58059</v>
      </c>
      <c r="CE86" s="40">
        <v>0</v>
      </c>
      <c r="CG86" s="40">
        <v>0</v>
      </c>
      <c r="CH86" s="40">
        <v>0</v>
      </c>
      <c r="CI86" s="40"/>
      <c r="CJ86" s="40">
        <f t="shared" si="74"/>
        <v>0</v>
      </c>
      <c r="CL86" s="85">
        <v>58059</v>
      </c>
      <c r="CM86" s="40">
        <v>0</v>
      </c>
      <c r="CN86" s="101"/>
      <c r="CO86" s="40">
        <v>0</v>
      </c>
      <c r="CP86" s="40">
        <v>0</v>
      </c>
      <c r="CQ86" s="40">
        <f t="shared" si="75"/>
        <v>0</v>
      </c>
      <c r="CS86" s="85">
        <v>58059</v>
      </c>
      <c r="CT86" s="40"/>
      <c r="CU86" s="40"/>
      <c r="CV86" s="40"/>
      <c r="CW86" s="40"/>
      <c r="CX86" s="40">
        <f t="shared" si="76"/>
        <v>0</v>
      </c>
      <c r="CZ86" s="85">
        <v>58059</v>
      </c>
      <c r="DB86" s="40"/>
      <c r="DD86" s="40">
        <f t="shared" si="77"/>
        <v>0</v>
      </c>
      <c r="DF86" s="85">
        <v>58059</v>
      </c>
      <c r="DJ86" s="40">
        <f t="shared" si="78"/>
        <v>0</v>
      </c>
      <c r="DL86" s="85">
        <v>58059</v>
      </c>
      <c r="DM86" s="40"/>
      <c r="DN86" s="87"/>
      <c r="DO86" s="40"/>
      <c r="DP86" s="40"/>
      <c r="DQ86" s="40">
        <f t="shared" si="65"/>
        <v>0</v>
      </c>
      <c r="DS86" s="85">
        <v>58059</v>
      </c>
      <c r="DU86" s="87"/>
      <c r="DY86" s="85">
        <v>58059</v>
      </c>
      <c r="DZ86" s="40"/>
      <c r="EA86" s="87"/>
      <c r="EB86" s="40"/>
      <c r="ED86" s="40">
        <f t="shared" si="79"/>
        <v>0</v>
      </c>
      <c r="EF86" s="85">
        <v>58059</v>
      </c>
      <c r="EG86" s="40"/>
      <c r="EH86" s="87"/>
      <c r="EI86" s="40"/>
      <c r="EJ86" s="40">
        <f t="shared" si="80"/>
        <v>0</v>
      </c>
      <c r="EL86" s="85">
        <v>58059</v>
      </c>
      <c r="EN86" s="87"/>
      <c r="EQ86" s="40">
        <f t="shared" si="81"/>
        <v>0</v>
      </c>
      <c r="ES86" s="85">
        <v>58059</v>
      </c>
      <c r="EU86" s="87"/>
      <c r="EX86" s="40">
        <f t="shared" si="66"/>
        <v>0</v>
      </c>
      <c r="EZ86" s="85">
        <v>58059</v>
      </c>
      <c r="FA86" s="67"/>
      <c r="FB86" s="67"/>
      <c r="FC86" s="67"/>
      <c r="FD86" s="67"/>
      <c r="FF86" s="85">
        <v>58059</v>
      </c>
      <c r="FG86" s="67"/>
      <c r="FH86" s="67"/>
      <c r="FI86" s="67"/>
      <c r="FJ86" s="40">
        <f t="shared" si="82"/>
        <v>0</v>
      </c>
      <c r="FL86" s="85">
        <v>58059</v>
      </c>
      <c r="FM86" s="67"/>
      <c r="FN86" s="67"/>
      <c r="FO86" s="67"/>
      <c r="FP86" s="40">
        <f t="shared" si="83"/>
        <v>0</v>
      </c>
      <c r="FR86" s="85">
        <v>58059</v>
      </c>
      <c r="FS86" s="67"/>
      <c r="FT86" s="67"/>
      <c r="FU86" s="67"/>
      <c r="FV86" s="67"/>
      <c r="FW86" s="40">
        <f t="shared" si="84"/>
        <v>0</v>
      </c>
      <c r="FY86" s="85">
        <v>58059</v>
      </c>
      <c r="FZ86" s="67"/>
      <c r="GA86" s="67"/>
      <c r="GB86" s="67"/>
      <c r="GC86" s="67"/>
      <c r="GD86" s="40">
        <f t="shared" si="85"/>
        <v>0</v>
      </c>
      <c r="GF86" s="85">
        <v>58059</v>
      </c>
      <c r="GG86" s="67"/>
      <c r="GH86" s="67"/>
      <c r="GI86" s="67"/>
      <c r="GJ86" s="67"/>
      <c r="GK86" s="40">
        <f t="shared" si="86"/>
        <v>0</v>
      </c>
      <c r="GM86" s="85">
        <v>58059</v>
      </c>
      <c r="GN86" s="67"/>
      <c r="GO86" s="67"/>
      <c r="GP86" s="67"/>
      <c r="GQ86" s="67"/>
      <c r="GR86" s="40">
        <f t="shared" si="87"/>
        <v>0</v>
      </c>
    </row>
    <row r="87" spans="2:200" x14ac:dyDescent="0.25">
      <c r="F87" s="85">
        <v>58256</v>
      </c>
      <c r="G87" s="85"/>
      <c r="H87" s="85">
        <v>58241</v>
      </c>
      <c r="I87" s="40">
        <f t="shared" ref="I87" si="103">SUM(AG86:AG87,AO86:AO87,AW86:AW87,BE86:BE87,BM86:BM87,BO86:BO87,BW86:BW87,CE86:CE87,CM86:CM87,CT86:CT87,DA86:DA87,DG86:DG87,DM86:DM87,DT86:DT87,DZ86:DZ87,EG86:EG87,EM86:EM87,ET86:ET87,FA86:FA87,FG86:FG87,FM86:FM87,FS86:FS87,FZ86:FZ87,GG86:GG87,GN86:GN87)</f>
        <v>0</v>
      </c>
      <c r="J87" s="40">
        <f t="shared" ref="J87" si="104">SUM(AI86:AI87,AQ86:AQ87,AY86:AY87,BG86:BG87,BQ86:BQ87,BY86:BY87,CG86:CG87,CO86:CO87,CV86:CV87,DC86:DC87,DI86:DI87,DO86:DO87,DV86:DV87,EB86:EB87,EI86:EI87,EO86:EO87,EV86:EV87,FC86:FC87,FI86:FI87,FO86:FO87,FU86:FU87,GB86:GB87,GI86:GI87,GP86:GP87)</f>
        <v>0</v>
      </c>
      <c r="K87" s="40">
        <f t="shared" ref="K87" si="105">SUM(BR86:BR87,BZ86:BZ87,CH86:CH87,CP86:CP87,CW86:CW87,DP86:DP87,EC86:EC87,EP86:EP87,EW86:EW87,FV86:FV87,GC86:GC87,GJ86:GJ87,GQ86:GQ87)</f>
        <v>0</v>
      </c>
      <c r="L87" s="40">
        <f t="shared" ref="L87" si="106">SUM(AS86:AS87,BA86:BA87,BI86:BI87,BS86:BS87,CA86:CA87,CI86:CI87)</f>
        <v>0</v>
      </c>
      <c r="M87" s="40">
        <f>SUM(I87:L87)</f>
        <v>0</v>
      </c>
      <c r="O87" s="85">
        <v>58256</v>
      </c>
      <c r="P87" s="85"/>
      <c r="Q87" s="85">
        <v>58241</v>
      </c>
      <c r="R87" s="40">
        <f t="shared" si="96"/>
        <v>0</v>
      </c>
      <c r="S87" s="40">
        <f t="shared" si="97"/>
        <v>0</v>
      </c>
      <c r="T87" s="40">
        <f t="shared" si="98"/>
        <v>0</v>
      </c>
      <c r="U87" s="40">
        <f t="shared" si="95"/>
        <v>0</v>
      </c>
      <c r="V87" s="40">
        <f t="shared" si="88"/>
        <v>0</v>
      </c>
      <c r="X87" s="85">
        <v>58241</v>
      </c>
      <c r="Y87" s="40"/>
      <c r="Z87" s="101"/>
      <c r="AA87" s="40">
        <f t="shared" si="89"/>
        <v>0</v>
      </c>
      <c r="AB87" s="40">
        <v>0</v>
      </c>
      <c r="AC87" s="40"/>
      <c r="AD87" s="40">
        <f t="shared" si="92"/>
        <v>0</v>
      </c>
      <c r="AF87" s="85">
        <v>58241</v>
      </c>
      <c r="AG87" s="40"/>
      <c r="AH87" s="101"/>
      <c r="AI87" s="40">
        <f t="shared" si="68"/>
        <v>0</v>
      </c>
      <c r="AJ87" s="40">
        <v>0</v>
      </c>
      <c r="AK87" s="40"/>
      <c r="AL87" s="40">
        <f t="shared" si="71"/>
        <v>0</v>
      </c>
      <c r="AN87" s="85">
        <v>58241</v>
      </c>
      <c r="AO87" s="40">
        <v>0</v>
      </c>
      <c r="AP87" s="101"/>
      <c r="AQ87" s="40">
        <f t="shared" si="69"/>
        <v>0</v>
      </c>
      <c r="AR87" s="40">
        <v>0</v>
      </c>
      <c r="AS87" s="40"/>
      <c r="AT87" s="40">
        <f t="shared" si="72"/>
        <v>0</v>
      </c>
      <c r="AV87" s="85">
        <v>58241</v>
      </c>
      <c r="AW87" s="40">
        <v>0</v>
      </c>
      <c r="AX87" s="101"/>
      <c r="AY87" s="40">
        <f t="shared" si="93"/>
        <v>0</v>
      </c>
      <c r="AZ87" s="40">
        <v>0</v>
      </c>
      <c r="BA87" s="40"/>
      <c r="BB87" s="40">
        <f t="shared" si="90"/>
        <v>0</v>
      </c>
      <c r="BD87" s="85">
        <v>58241</v>
      </c>
      <c r="BE87" s="40">
        <v>0</v>
      </c>
      <c r="BF87" s="101"/>
      <c r="BG87" s="40">
        <f t="shared" si="94"/>
        <v>0</v>
      </c>
      <c r="BH87" s="40">
        <v>0</v>
      </c>
      <c r="BI87" s="40"/>
      <c r="BJ87" s="40">
        <f t="shared" si="91"/>
        <v>0</v>
      </c>
      <c r="BL87" s="85">
        <v>58241</v>
      </c>
      <c r="BM87" s="40"/>
      <c r="BN87" s="101"/>
      <c r="BO87" s="40"/>
      <c r="BP87" s="101"/>
      <c r="BQ87" s="40">
        <f t="shared" si="67"/>
        <v>0</v>
      </c>
      <c r="BR87" s="40"/>
      <c r="BS87" s="40"/>
      <c r="BT87" s="40">
        <f t="shared" si="73"/>
        <v>0</v>
      </c>
      <c r="BV87" s="85">
        <v>58241</v>
      </c>
      <c r="BW87" s="40"/>
      <c r="BX87" s="40"/>
      <c r="BY87" s="40"/>
      <c r="BZ87" s="40"/>
      <c r="CA87" s="40"/>
      <c r="CB87" s="40">
        <f t="shared" si="70"/>
        <v>0</v>
      </c>
      <c r="CD87" s="85">
        <v>58241</v>
      </c>
      <c r="CE87" s="40">
        <v>0</v>
      </c>
      <c r="CG87" s="40">
        <v>0</v>
      </c>
      <c r="CH87" s="40">
        <v>0</v>
      </c>
      <c r="CI87" s="40"/>
      <c r="CJ87" s="40">
        <f t="shared" si="74"/>
        <v>0</v>
      </c>
      <c r="CL87" s="85">
        <v>58241</v>
      </c>
      <c r="CM87" s="40">
        <v>0</v>
      </c>
      <c r="CN87" s="101"/>
      <c r="CO87" s="40">
        <v>0</v>
      </c>
      <c r="CP87" s="40">
        <v>0</v>
      </c>
      <c r="CQ87" s="40">
        <f t="shared" si="75"/>
        <v>0</v>
      </c>
      <c r="CS87" s="85">
        <v>58241</v>
      </c>
      <c r="CT87" s="40"/>
      <c r="CU87" s="40"/>
      <c r="CV87" s="40"/>
      <c r="CW87" s="40"/>
      <c r="CX87" s="40">
        <f t="shared" si="76"/>
        <v>0</v>
      </c>
      <c r="CZ87" s="85">
        <v>58241</v>
      </c>
      <c r="DB87" s="40"/>
      <c r="DD87" s="40">
        <f t="shared" si="77"/>
        <v>0</v>
      </c>
      <c r="DF87" s="85">
        <v>58241</v>
      </c>
      <c r="DJ87" s="40">
        <f t="shared" si="78"/>
        <v>0</v>
      </c>
      <c r="DL87" s="85">
        <v>58241</v>
      </c>
      <c r="DM87" s="40"/>
      <c r="DN87" s="87"/>
      <c r="DO87" s="40"/>
      <c r="DP87" s="40"/>
      <c r="DQ87" s="40">
        <f t="shared" si="65"/>
        <v>0</v>
      </c>
      <c r="DS87" s="85">
        <v>58241</v>
      </c>
      <c r="DU87" s="87"/>
      <c r="DY87" s="85">
        <v>58241</v>
      </c>
      <c r="DZ87" s="40"/>
      <c r="EA87" s="87"/>
      <c r="EB87" s="40"/>
      <c r="ED87" s="40">
        <f t="shared" si="79"/>
        <v>0</v>
      </c>
      <c r="EF87" s="85">
        <v>58241</v>
      </c>
      <c r="EG87" s="40"/>
      <c r="EH87" s="87"/>
      <c r="EI87" s="40"/>
      <c r="EJ87" s="40">
        <f t="shared" si="80"/>
        <v>0</v>
      </c>
      <c r="EL87" s="85">
        <v>58241</v>
      </c>
      <c r="EN87" s="87"/>
      <c r="EQ87" s="40">
        <f t="shared" si="81"/>
        <v>0</v>
      </c>
      <c r="ES87" s="85">
        <v>58241</v>
      </c>
      <c r="EU87" s="87"/>
      <c r="EX87" s="40">
        <f t="shared" si="66"/>
        <v>0</v>
      </c>
      <c r="EZ87" s="85">
        <v>58241</v>
      </c>
      <c r="FA87" s="67"/>
      <c r="FB87" s="67"/>
      <c r="FC87" s="67"/>
      <c r="FD87" s="67"/>
      <c r="FF87" s="85">
        <v>58241</v>
      </c>
      <c r="FG87" s="67"/>
      <c r="FH87" s="67"/>
      <c r="FI87" s="67"/>
      <c r="FJ87" s="40">
        <f t="shared" si="82"/>
        <v>0</v>
      </c>
      <c r="FL87" s="85">
        <v>58241</v>
      </c>
      <c r="FM87" s="67"/>
      <c r="FN87" s="67"/>
      <c r="FO87" s="67"/>
      <c r="FP87" s="40">
        <f t="shared" si="83"/>
        <v>0</v>
      </c>
      <c r="FR87" s="85">
        <v>58241</v>
      </c>
      <c r="FS87" s="67"/>
      <c r="FT87" s="67"/>
      <c r="FU87" s="67"/>
      <c r="FV87" s="67"/>
      <c r="FW87" s="40">
        <f t="shared" si="84"/>
        <v>0</v>
      </c>
      <c r="FY87" s="85">
        <v>58241</v>
      </c>
      <c r="FZ87" s="67"/>
      <c r="GA87" s="67"/>
      <c r="GB87" s="67"/>
      <c r="GC87" s="67"/>
      <c r="GD87" s="40">
        <f t="shared" si="85"/>
        <v>0</v>
      </c>
      <c r="GF87" s="85">
        <v>58241</v>
      </c>
      <c r="GG87" s="67"/>
      <c r="GH87" s="67"/>
      <c r="GI87" s="67"/>
      <c r="GJ87" s="67"/>
      <c r="GK87" s="40">
        <f t="shared" si="86"/>
        <v>0</v>
      </c>
      <c r="GM87" s="85">
        <v>58241</v>
      </c>
      <c r="GN87" s="67"/>
      <c r="GO87" s="67"/>
      <c r="GP87" s="67"/>
      <c r="GQ87" s="67"/>
      <c r="GR87" s="40">
        <f t="shared" si="87"/>
        <v>0</v>
      </c>
    </row>
    <row r="88" spans="2:200" x14ac:dyDescent="0.25">
      <c r="F88" s="85">
        <v>58440</v>
      </c>
      <c r="G88" s="85"/>
      <c r="H88" s="85">
        <v>58424</v>
      </c>
      <c r="I88" s="40"/>
      <c r="O88" s="85">
        <v>58440</v>
      </c>
      <c r="P88" s="85"/>
      <c r="Q88" s="85">
        <v>58424</v>
      </c>
      <c r="R88" s="40">
        <f t="shared" si="96"/>
        <v>0</v>
      </c>
      <c r="S88" s="40">
        <f t="shared" si="97"/>
        <v>0</v>
      </c>
      <c r="T88" s="40">
        <f t="shared" si="98"/>
        <v>0</v>
      </c>
      <c r="U88" s="40">
        <f t="shared" si="95"/>
        <v>0</v>
      </c>
      <c r="V88" s="40">
        <f t="shared" si="88"/>
        <v>0</v>
      </c>
      <c r="X88" s="85">
        <v>58424</v>
      </c>
      <c r="Y88" s="40"/>
      <c r="Z88" s="101"/>
      <c r="AA88" s="40">
        <f t="shared" si="89"/>
        <v>0</v>
      </c>
      <c r="AB88" s="40">
        <v>0</v>
      </c>
      <c r="AC88" s="40"/>
      <c r="AD88" s="40">
        <f t="shared" si="92"/>
        <v>0</v>
      </c>
      <c r="AF88" s="85">
        <v>58424</v>
      </c>
      <c r="AG88" s="40"/>
      <c r="AH88" s="101"/>
      <c r="AI88" s="40">
        <f t="shared" si="68"/>
        <v>0</v>
      </c>
      <c r="AJ88" s="40">
        <v>0</v>
      </c>
      <c r="AK88" s="40"/>
      <c r="AL88" s="40">
        <f t="shared" si="71"/>
        <v>0</v>
      </c>
      <c r="AN88" s="85">
        <v>58424</v>
      </c>
      <c r="AO88" s="40">
        <v>0</v>
      </c>
      <c r="AP88" s="101"/>
      <c r="AQ88" s="40">
        <f t="shared" si="69"/>
        <v>0</v>
      </c>
      <c r="AR88" s="40">
        <v>0</v>
      </c>
      <c r="AS88" s="40"/>
      <c r="AT88" s="40">
        <f t="shared" si="72"/>
        <v>0</v>
      </c>
      <c r="AV88" s="85">
        <v>58424</v>
      </c>
      <c r="AW88" s="40">
        <v>0</v>
      </c>
      <c r="AX88" s="101"/>
      <c r="AY88" s="40">
        <f t="shared" si="93"/>
        <v>0</v>
      </c>
      <c r="AZ88" s="40">
        <v>0</v>
      </c>
      <c r="BA88" s="40"/>
      <c r="BB88" s="40">
        <f t="shared" si="90"/>
        <v>0</v>
      </c>
      <c r="BD88" s="85">
        <v>58424</v>
      </c>
      <c r="BE88" s="40">
        <v>0</v>
      </c>
      <c r="BF88" s="101"/>
      <c r="BG88" s="40">
        <f t="shared" si="94"/>
        <v>0</v>
      </c>
      <c r="BH88" s="40">
        <v>0</v>
      </c>
      <c r="BI88" s="40"/>
      <c r="BJ88" s="40">
        <f t="shared" si="91"/>
        <v>0</v>
      </c>
      <c r="BL88" s="85">
        <v>58424</v>
      </c>
      <c r="BM88" s="40"/>
      <c r="BN88" s="101"/>
      <c r="BO88" s="40"/>
      <c r="BP88" s="101"/>
      <c r="BQ88" s="40">
        <f t="shared" si="67"/>
        <v>0</v>
      </c>
      <c r="BR88" s="40"/>
      <c r="BS88" s="40"/>
      <c r="BT88" s="40">
        <f t="shared" si="73"/>
        <v>0</v>
      </c>
      <c r="BV88" s="85">
        <v>58424</v>
      </c>
      <c r="BW88" s="40"/>
      <c r="BX88" s="40"/>
      <c r="BY88" s="40"/>
      <c r="BZ88" s="40"/>
      <c r="CA88" s="40"/>
      <c r="CB88" s="40">
        <f t="shared" si="70"/>
        <v>0</v>
      </c>
      <c r="CD88" s="85">
        <v>58424</v>
      </c>
      <c r="CE88" s="40">
        <v>0</v>
      </c>
      <c r="CG88" s="40">
        <v>0</v>
      </c>
      <c r="CH88" s="40">
        <v>0</v>
      </c>
      <c r="CI88" s="40"/>
      <c r="CJ88" s="40">
        <f t="shared" si="74"/>
        <v>0</v>
      </c>
      <c r="CL88" s="85">
        <v>58424</v>
      </c>
      <c r="CM88" s="40">
        <v>0</v>
      </c>
      <c r="CN88" s="101"/>
      <c r="CO88" s="40">
        <v>0</v>
      </c>
      <c r="CP88" s="40">
        <v>0</v>
      </c>
      <c r="CQ88" s="40">
        <f t="shared" si="75"/>
        <v>0</v>
      </c>
      <c r="CS88" s="85">
        <v>58424</v>
      </c>
      <c r="CT88" s="40"/>
      <c r="CU88" s="40"/>
      <c r="CV88" s="40"/>
      <c r="CW88" s="40"/>
      <c r="CX88" s="40">
        <f t="shared" si="76"/>
        <v>0</v>
      </c>
      <c r="CZ88" s="85">
        <v>58424</v>
      </c>
      <c r="DB88" s="40"/>
      <c r="DD88" s="40">
        <f t="shared" si="77"/>
        <v>0</v>
      </c>
      <c r="DF88" s="85">
        <v>58424</v>
      </c>
      <c r="DJ88" s="40">
        <f t="shared" si="78"/>
        <v>0</v>
      </c>
      <c r="DL88" s="85">
        <v>58424</v>
      </c>
      <c r="DM88" s="40"/>
      <c r="DN88" s="87"/>
      <c r="DO88" s="40"/>
      <c r="DP88" s="40"/>
      <c r="DQ88" s="40">
        <f t="shared" si="65"/>
        <v>0</v>
      </c>
      <c r="DS88" s="85">
        <v>58424</v>
      </c>
      <c r="DU88" s="87"/>
      <c r="DY88" s="85">
        <v>58424</v>
      </c>
      <c r="DZ88" s="40"/>
      <c r="EA88" s="87"/>
      <c r="EB88" s="40"/>
      <c r="ED88" s="40">
        <f t="shared" si="79"/>
        <v>0</v>
      </c>
      <c r="EF88" s="85">
        <v>58424</v>
      </c>
      <c r="EG88" s="40"/>
      <c r="EH88" s="87"/>
      <c r="EI88" s="40"/>
      <c r="EJ88" s="40">
        <f t="shared" si="80"/>
        <v>0</v>
      </c>
      <c r="EL88" s="85">
        <v>58424</v>
      </c>
      <c r="EN88" s="87"/>
      <c r="EQ88" s="40">
        <f t="shared" si="81"/>
        <v>0</v>
      </c>
      <c r="ES88" s="85">
        <v>58424</v>
      </c>
      <c r="EU88" s="87"/>
      <c r="EX88" s="40">
        <f t="shared" si="66"/>
        <v>0</v>
      </c>
      <c r="EZ88" s="85">
        <v>58424</v>
      </c>
      <c r="FA88" s="67"/>
      <c r="FB88" s="67"/>
      <c r="FC88" s="67"/>
      <c r="FD88" s="67"/>
      <c r="FF88" s="85">
        <v>58424</v>
      </c>
      <c r="FG88" s="67"/>
      <c r="FH88" s="67"/>
      <c r="FI88" s="67"/>
      <c r="FJ88" s="40">
        <f t="shared" si="82"/>
        <v>0</v>
      </c>
      <c r="FL88" s="85">
        <v>58424</v>
      </c>
      <c r="FM88" s="67"/>
      <c r="FN88" s="67"/>
      <c r="FO88" s="67"/>
      <c r="FP88" s="40">
        <f t="shared" si="83"/>
        <v>0</v>
      </c>
      <c r="FR88" s="85">
        <v>58424</v>
      </c>
      <c r="FS88" s="67"/>
      <c r="FT88" s="67"/>
      <c r="FU88" s="67"/>
      <c r="FV88" s="67"/>
      <c r="FW88" s="40">
        <f t="shared" si="84"/>
        <v>0</v>
      </c>
      <c r="FY88" s="85">
        <v>58424</v>
      </c>
      <c r="FZ88" s="67"/>
      <c r="GA88" s="67"/>
      <c r="GB88" s="67"/>
      <c r="GC88" s="67"/>
      <c r="GD88" s="40">
        <f t="shared" si="85"/>
        <v>0</v>
      </c>
      <c r="GF88" s="85">
        <v>58424</v>
      </c>
      <c r="GG88" s="67"/>
      <c r="GH88" s="67"/>
      <c r="GI88" s="67"/>
      <c r="GJ88" s="67"/>
      <c r="GK88" s="40">
        <f t="shared" si="86"/>
        <v>0</v>
      </c>
      <c r="GM88" s="85">
        <v>58424</v>
      </c>
      <c r="GN88" s="67"/>
      <c r="GO88" s="67"/>
      <c r="GP88" s="67"/>
      <c r="GQ88" s="67"/>
      <c r="GR88" s="40">
        <f t="shared" si="87"/>
        <v>0</v>
      </c>
    </row>
    <row r="89" spans="2:200" x14ac:dyDescent="0.25">
      <c r="F89" s="85">
        <v>58622</v>
      </c>
      <c r="G89" s="85"/>
      <c r="H89" s="85">
        <v>58607</v>
      </c>
      <c r="I89" s="40">
        <f t="shared" ref="I89" si="107">SUM(AG88:AG89,AO88:AO89,AW88:AW89,BE88:BE89,BM88:BM89,BO88:BO89,BW88:BW89,CE88:CE89,CM88:CM89,CT88:CT89,DA88:DA89,DG88:DG89,DM88:DM89,DT88:DT89,DZ88:DZ89,EG88:EG89,EM88:EM89,ET88:ET89,FA88:FA89,FG88:FG89,FM88:FM89,FS88:FS89,FZ88:FZ89,GG88:GG89,GN88:GN89)</f>
        <v>0</v>
      </c>
      <c r="J89" s="40">
        <f t="shared" ref="J89" si="108">SUM(AI88:AI89,AQ88:AQ89,AY88:AY89,BG88:BG89,BQ88:BQ89,BY88:BY89,CG88:CG89,CO88:CO89,CV88:CV89,DC88:DC89,DI88:DI89,DO88:DO89,DV88:DV89,EB88:EB89,EI88:EI89,EO88:EO89,EV88:EV89,FC88:FC89,FI88:FI89,FO88:FO89,FU88:FU89,GB88:GB89,GI88:GI89,GP88:GP89)</f>
        <v>0</v>
      </c>
      <c r="K89" s="40">
        <f t="shared" ref="K89" si="109">SUM(BR88:BR89,BZ88:BZ89,CH88:CH89,CP88:CP89,CW88:CW89,DP88:DP89,EC88:EC89,EP88:EP89,EW88:EW89,FV88:FV89,GC88:GC89,GJ88:GJ89,GQ88:GQ89)</f>
        <v>0</v>
      </c>
      <c r="L89" s="40">
        <f t="shared" ref="L89" si="110">SUM(AS88:AS89,BA88:BA89,BI88:BI89,BS88:BS89,CA88:CA89,CI88:CI89)</f>
        <v>0</v>
      </c>
      <c r="M89" s="40">
        <f>SUM(I89:L89)</f>
        <v>0</v>
      </c>
      <c r="O89" s="85">
        <v>58622</v>
      </c>
      <c r="P89" s="85"/>
      <c r="Q89" s="85">
        <v>58607</v>
      </c>
      <c r="R89" s="40">
        <f t="shared" si="96"/>
        <v>0</v>
      </c>
      <c r="S89" s="40">
        <f t="shared" si="97"/>
        <v>0</v>
      </c>
      <c r="T89" s="40">
        <f t="shared" si="98"/>
        <v>0</v>
      </c>
      <c r="U89" s="40">
        <f t="shared" si="95"/>
        <v>0</v>
      </c>
      <c r="V89" s="40">
        <f t="shared" si="88"/>
        <v>0</v>
      </c>
      <c r="X89" s="85">
        <v>58607</v>
      </c>
      <c r="Y89" s="40"/>
      <c r="Z89" s="101"/>
      <c r="AA89" s="40">
        <f>Y89*Z89/2+AA90</f>
        <v>0</v>
      </c>
      <c r="AB89" s="40">
        <v>0</v>
      </c>
      <c r="AC89" s="40"/>
      <c r="AD89" s="40">
        <f t="shared" si="92"/>
        <v>0</v>
      </c>
      <c r="AF89" s="85">
        <v>58607</v>
      </c>
      <c r="AG89" s="40"/>
      <c r="AH89" s="101"/>
      <c r="AI89" s="40">
        <f>AG89*AH89/2+AI90</f>
        <v>0</v>
      </c>
      <c r="AJ89" s="40">
        <v>0</v>
      </c>
      <c r="AK89" s="40"/>
      <c r="AL89" s="40">
        <f t="shared" si="71"/>
        <v>0</v>
      </c>
      <c r="AN89" s="85">
        <v>58607</v>
      </c>
      <c r="AO89" s="40">
        <v>0</v>
      </c>
      <c r="AP89" s="101"/>
      <c r="AQ89" s="40">
        <f>AO89*AP89/2+AQ90</f>
        <v>0</v>
      </c>
      <c r="AR89" s="40">
        <v>0</v>
      </c>
      <c r="AS89" s="40"/>
      <c r="AT89" s="40">
        <f t="shared" si="72"/>
        <v>0</v>
      </c>
      <c r="AV89" s="85">
        <v>58607</v>
      </c>
      <c r="AW89" s="40">
        <v>0</v>
      </c>
      <c r="AX89" s="101"/>
      <c r="AY89" s="40">
        <f t="shared" si="93"/>
        <v>0</v>
      </c>
      <c r="AZ89" s="40">
        <v>0</v>
      </c>
      <c r="BA89" s="40"/>
      <c r="BB89" s="40">
        <f t="shared" si="90"/>
        <v>0</v>
      </c>
      <c r="BD89" s="85">
        <v>58607</v>
      </c>
      <c r="BE89" s="40">
        <v>0</v>
      </c>
      <c r="BF89" s="101"/>
      <c r="BG89" s="40">
        <f t="shared" si="94"/>
        <v>0</v>
      </c>
      <c r="BH89" s="40">
        <v>0</v>
      </c>
      <c r="BI89" s="40"/>
      <c r="BJ89" s="40">
        <f t="shared" si="91"/>
        <v>0</v>
      </c>
      <c r="BL89" s="85">
        <v>58607</v>
      </c>
      <c r="BM89" s="40"/>
      <c r="BN89" s="101"/>
      <c r="BO89" s="40"/>
      <c r="BP89" s="101"/>
      <c r="BQ89" s="40">
        <f t="shared" si="67"/>
        <v>0</v>
      </c>
      <c r="BR89" s="40"/>
      <c r="BS89" s="40"/>
      <c r="BT89" s="40">
        <f t="shared" si="73"/>
        <v>0</v>
      </c>
      <c r="BV89" s="85">
        <v>58607</v>
      </c>
      <c r="BW89" s="40"/>
      <c r="BX89" s="40"/>
      <c r="BY89" s="40"/>
      <c r="BZ89" s="40"/>
      <c r="CA89" s="40"/>
      <c r="CB89" s="40">
        <f t="shared" si="70"/>
        <v>0</v>
      </c>
      <c r="CD89" s="85">
        <v>58607</v>
      </c>
      <c r="CE89" s="40">
        <v>0</v>
      </c>
      <c r="CG89" s="40">
        <v>0</v>
      </c>
      <c r="CH89" s="40">
        <v>0</v>
      </c>
      <c r="CI89" s="40"/>
      <c r="CJ89" s="40">
        <f t="shared" si="74"/>
        <v>0</v>
      </c>
      <c r="CL89" s="85">
        <v>58607</v>
      </c>
      <c r="CM89" s="40">
        <v>0</v>
      </c>
      <c r="CN89" s="101"/>
      <c r="CO89" s="40">
        <v>0</v>
      </c>
      <c r="CP89" s="40">
        <v>0</v>
      </c>
      <c r="CQ89" s="40">
        <f t="shared" si="75"/>
        <v>0</v>
      </c>
      <c r="CS89" s="85">
        <v>58607</v>
      </c>
      <c r="CT89" s="40"/>
      <c r="CU89" s="40"/>
      <c r="CV89" s="40"/>
      <c r="CW89" s="40"/>
      <c r="CX89" s="40">
        <f t="shared" si="76"/>
        <v>0</v>
      </c>
      <c r="CZ89" s="85">
        <v>58607</v>
      </c>
      <c r="DB89" s="40"/>
      <c r="DD89" s="40">
        <f t="shared" si="77"/>
        <v>0</v>
      </c>
      <c r="DF89" s="85">
        <v>58607</v>
      </c>
      <c r="DJ89" s="40">
        <f t="shared" si="78"/>
        <v>0</v>
      </c>
      <c r="DL89" s="85">
        <v>58607</v>
      </c>
      <c r="DM89" s="40"/>
      <c r="DN89" s="87"/>
      <c r="DO89" s="40"/>
      <c r="DP89" s="40"/>
      <c r="DQ89" s="40">
        <f t="shared" si="65"/>
        <v>0</v>
      </c>
      <c r="DS89" s="85">
        <v>58607</v>
      </c>
      <c r="DU89" s="87"/>
      <c r="DY89" s="85">
        <v>58607</v>
      </c>
      <c r="DZ89" s="40"/>
      <c r="EA89" s="87"/>
      <c r="EB89" s="40"/>
      <c r="ED89" s="40">
        <f t="shared" si="79"/>
        <v>0</v>
      </c>
      <c r="EF89" s="85">
        <v>58607</v>
      </c>
      <c r="EG89" s="40"/>
      <c r="EH89" s="87"/>
      <c r="EI89" s="40"/>
      <c r="EJ89" s="40">
        <f t="shared" si="80"/>
        <v>0</v>
      </c>
      <c r="EL89" s="85">
        <v>58607</v>
      </c>
      <c r="EN89" s="87"/>
      <c r="EQ89" s="40">
        <f t="shared" si="81"/>
        <v>0</v>
      </c>
      <c r="ES89" s="85">
        <v>58607</v>
      </c>
      <c r="EU89" s="87"/>
      <c r="EX89" s="40">
        <f t="shared" si="66"/>
        <v>0</v>
      </c>
      <c r="EZ89" s="85">
        <v>58607</v>
      </c>
      <c r="FA89" s="67"/>
      <c r="FB89" s="67"/>
      <c r="FC89" s="67"/>
      <c r="FD89" s="67"/>
      <c r="FF89" s="85">
        <v>58607</v>
      </c>
      <c r="FG89" s="67"/>
      <c r="FH89" s="67"/>
      <c r="FI89" s="67"/>
      <c r="FJ89" s="40">
        <f t="shared" si="82"/>
        <v>0</v>
      </c>
      <c r="FL89" s="85">
        <v>58607</v>
      </c>
      <c r="FM89" s="67"/>
      <c r="FN89" s="67"/>
      <c r="FO89" s="67"/>
      <c r="FP89" s="40">
        <f t="shared" si="83"/>
        <v>0</v>
      </c>
      <c r="FR89" s="85">
        <v>58607</v>
      </c>
      <c r="FS89" s="67"/>
      <c r="FT89" s="67"/>
      <c r="FU89" s="67"/>
      <c r="FV89" s="67"/>
      <c r="FW89" s="40">
        <f t="shared" si="84"/>
        <v>0</v>
      </c>
      <c r="FY89" s="85">
        <v>58607</v>
      </c>
      <c r="FZ89" s="67"/>
      <c r="GA89" s="67"/>
      <c r="GB89" s="67"/>
      <c r="GC89" s="67"/>
      <c r="GD89" s="40">
        <f t="shared" si="85"/>
        <v>0</v>
      </c>
      <c r="GF89" s="85">
        <v>58607</v>
      </c>
      <c r="GG89" s="67"/>
      <c r="GH89" s="67"/>
      <c r="GI89" s="67"/>
      <c r="GJ89" s="67"/>
      <c r="GK89" s="40">
        <f t="shared" si="86"/>
        <v>0</v>
      </c>
      <c r="GM89" s="85">
        <v>58607</v>
      </c>
      <c r="GN89" s="67"/>
      <c r="GO89" s="67"/>
      <c r="GP89" s="67"/>
      <c r="GQ89" s="67"/>
      <c r="GR89" s="40">
        <f t="shared" si="87"/>
        <v>0</v>
      </c>
    </row>
    <row r="90" spans="2:200" x14ac:dyDescent="0.25">
      <c r="Z90" s="101"/>
      <c r="AH90" s="101"/>
      <c r="AP90" s="101"/>
      <c r="AX90" s="101"/>
      <c r="BF90" s="101"/>
      <c r="CN90" s="101"/>
    </row>
    <row r="91" spans="2:200" x14ac:dyDescent="0.25">
      <c r="F91" s="95" t="s">
        <v>36</v>
      </c>
      <c r="G91" s="95"/>
      <c r="H91" s="95"/>
      <c r="I91" s="96">
        <f>SUM(I11:I90)</f>
        <v>3092205056.1500001</v>
      </c>
      <c r="J91" s="96">
        <f>SUM(J11:J90)</f>
        <v>2586436231.1300001</v>
      </c>
      <c r="K91" s="96">
        <f>SUM(K11:K90)</f>
        <v>6530219632.9500008</v>
      </c>
      <c r="L91" s="96">
        <f>SUM(L11:L90)</f>
        <v>-18736955.609999999</v>
      </c>
      <c r="M91" s="96">
        <f>SUM(M11:M90)</f>
        <v>12190123964.620001</v>
      </c>
      <c r="O91" s="95" t="s">
        <v>36</v>
      </c>
      <c r="P91" s="95"/>
      <c r="Q91" s="95"/>
      <c r="R91" s="96">
        <f>SUM(R11:R90)</f>
        <v>3092205056.1500006</v>
      </c>
      <c r="S91" s="96">
        <f>SUM(S11:S90)</f>
        <v>2586436231.1300001</v>
      </c>
      <c r="T91" s="96">
        <f>SUM(T11:T90)</f>
        <v>6530219632.9500017</v>
      </c>
      <c r="U91" s="96">
        <f>SUM(U11:U90)</f>
        <v>-18736955.609999999</v>
      </c>
      <c r="V91" s="96">
        <f>SUM(V11:V90)</f>
        <v>12190123964.620001</v>
      </c>
      <c r="X91" s="95" t="s">
        <v>36</v>
      </c>
      <c r="Y91" s="96">
        <f>SUM(Y11:Y90)</f>
        <v>811248846.64999998</v>
      </c>
      <c r="Z91" s="96"/>
      <c r="AA91" s="96">
        <f>SUM(AA11:AA90)</f>
        <v>655713604.44000006</v>
      </c>
      <c r="AB91" s="96">
        <f>SUM(AB11:AB90)</f>
        <v>66331153.349999994</v>
      </c>
      <c r="AC91" s="96">
        <f>SUM(AC11:AC90)</f>
        <v>-18736955.609999999</v>
      </c>
      <c r="AD91" s="96">
        <f>SUM(AD11:AD90)</f>
        <v>1514556648.8299999</v>
      </c>
      <c r="AF91" s="95" t="s">
        <v>36</v>
      </c>
      <c r="AG91" s="96">
        <f>SUM(AG11:AG90)</f>
        <v>0</v>
      </c>
      <c r="AH91" s="96"/>
      <c r="AI91" s="96">
        <f>SUM(AI11:AI90)</f>
        <v>0</v>
      </c>
      <c r="AJ91" s="96">
        <f>SUM(AJ11:AJ90)</f>
        <v>0</v>
      </c>
      <c r="AK91" s="96">
        <f>SUM(AK11:AK90)</f>
        <v>0</v>
      </c>
      <c r="AL91" s="96">
        <f>SUM(AL11:AL90)</f>
        <v>0</v>
      </c>
      <c r="AN91" s="95" t="s">
        <v>36</v>
      </c>
      <c r="AO91" s="96">
        <f>SUM(AO11:AO90)</f>
        <v>65510000</v>
      </c>
      <c r="AP91" s="96"/>
      <c r="AQ91" s="96">
        <f>SUM(AQ11:AQ90)</f>
        <v>68785500</v>
      </c>
      <c r="AR91" s="96">
        <f>SUM(AR11:AR90)</f>
        <v>0</v>
      </c>
      <c r="AS91" s="96">
        <f>SUM(AS11:AS90)</f>
        <v>0</v>
      </c>
      <c r="AT91" s="96">
        <f>SUM(AT11:AT90)</f>
        <v>134295500</v>
      </c>
      <c r="AV91" s="95" t="s">
        <v>36</v>
      </c>
      <c r="AW91" s="96">
        <f>SUM(AW11:AW90)</f>
        <v>48905000</v>
      </c>
      <c r="AX91" s="96"/>
      <c r="AY91" s="96">
        <f>SUM(AY11:AY90)</f>
        <v>11274523.180000002</v>
      </c>
      <c r="AZ91" s="96">
        <f>SUM(AZ11:AZ90)</f>
        <v>0</v>
      </c>
      <c r="BA91" s="96">
        <f>SUM(BA11:BA90)</f>
        <v>0</v>
      </c>
      <c r="BB91" s="96">
        <f>SUM(BB11:BB90)</f>
        <v>60179523.180000007</v>
      </c>
      <c r="BD91" s="95" t="s">
        <v>36</v>
      </c>
      <c r="BE91" s="96">
        <f>SUM(BE11:BE90)</f>
        <v>46270000</v>
      </c>
      <c r="BF91" s="96"/>
      <c r="BG91" s="96">
        <f>SUM(BG11:BG90)</f>
        <v>13886317.259999998</v>
      </c>
      <c r="BH91" s="96">
        <f>SUM(BH11:BH90)</f>
        <v>0</v>
      </c>
      <c r="BI91" s="96">
        <f>SUM(BI11:BI90)</f>
        <v>0</v>
      </c>
      <c r="BJ91" s="96">
        <f>SUM(BJ11:BJ90)</f>
        <v>60156317.25999999</v>
      </c>
      <c r="BL91" s="95" t="s">
        <v>36</v>
      </c>
      <c r="BM91" s="96">
        <f>SUM(BM11:BM90)</f>
        <v>444905000</v>
      </c>
      <c r="BN91" s="96"/>
      <c r="BO91" s="96">
        <f>SUM(BO11:BO90)</f>
        <v>437000000</v>
      </c>
      <c r="BP91" s="96"/>
      <c r="BQ91" s="96">
        <f>SUM(BQ11:BQ90)</f>
        <v>1090570250</v>
      </c>
      <c r="BR91" s="96">
        <f>SUM(BR11:BR90)</f>
        <v>0</v>
      </c>
      <c r="BS91" s="96">
        <f>SUM(BS11:BS90)</f>
        <v>0</v>
      </c>
      <c r="BT91" s="96">
        <f>SUM(BT11:BT90)</f>
        <v>1972475250</v>
      </c>
      <c r="BV91" s="95" t="s">
        <v>36</v>
      </c>
      <c r="BW91" s="96">
        <f>SUM(BW11:BW90)</f>
        <v>0</v>
      </c>
      <c r="BX91" s="96"/>
      <c r="BY91" s="96">
        <f>SUM(BY11:BY90)</f>
        <v>0</v>
      </c>
      <c r="BZ91" s="96">
        <f>SUM(BZ11:BZ90)</f>
        <v>0</v>
      </c>
      <c r="CA91" s="96">
        <f>SUM(CA11:CA90)</f>
        <v>0</v>
      </c>
      <c r="CB91" s="96">
        <f>SUM(CB11:CB90)</f>
        <v>0</v>
      </c>
      <c r="CD91" s="95" t="s">
        <v>36</v>
      </c>
      <c r="CE91" s="96">
        <f>SUM(CE11:CE90)</f>
        <v>246729577.80000001</v>
      </c>
      <c r="CF91" s="96"/>
      <c r="CG91" s="96">
        <f>SUM(CG11:CG90)</f>
        <v>335477375</v>
      </c>
      <c r="CH91" s="96">
        <f>SUM(CH11:CH90)</f>
        <v>339931665.64999998</v>
      </c>
      <c r="CI91" s="96">
        <f>SUM(CI11:CI90)</f>
        <v>0</v>
      </c>
      <c r="CJ91" s="96">
        <f>SUM(CJ11:CJ90)</f>
        <v>922138618.44999993</v>
      </c>
      <c r="CL91" s="95" t="s">
        <v>36</v>
      </c>
      <c r="CM91" s="96">
        <f>SUM(CM11:CM90)</f>
        <v>225776146.75</v>
      </c>
      <c r="CN91" s="132"/>
      <c r="CO91" s="96">
        <f>SUM(CO11:CO90)</f>
        <v>54485828.75</v>
      </c>
      <c r="CP91" s="96">
        <f>SUM(CP11:CP90)</f>
        <v>734766213.39999998</v>
      </c>
      <c r="CQ91" s="96">
        <f>SUM(CQ11:CQ90)</f>
        <v>1015028188.9</v>
      </c>
      <c r="CS91" s="95" t="s">
        <v>36</v>
      </c>
      <c r="CT91" s="96">
        <f>SUM(CT11:CT90)</f>
        <v>153154550</v>
      </c>
      <c r="CU91" s="96"/>
      <c r="CV91" s="96">
        <f>SUM(CV11:CV90)</f>
        <v>219222750</v>
      </c>
      <c r="CW91" s="96">
        <f>SUM(CW11:CW90)</f>
        <v>171870450</v>
      </c>
      <c r="CX91" s="96">
        <f>SUM(CX11:CX90)</f>
        <v>544247750</v>
      </c>
      <c r="CZ91" s="95" t="s">
        <v>36</v>
      </c>
      <c r="DA91" s="96">
        <f>SUM(DA11:DA90)</f>
        <v>66215000</v>
      </c>
      <c r="DB91" s="96"/>
      <c r="DC91" s="96">
        <f>SUM(DC11:DC90)</f>
        <v>72890000</v>
      </c>
      <c r="DD91" s="96">
        <f>SUM(DD11:DD90)</f>
        <v>139105000</v>
      </c>
      <c r="DF91" s="95" t="s">
        <v>36</v>
      </c>
      <c r="DG91" s="96">
        <f>SUM(DG11:DG90)</f>
        <v>0</v>
      </c>
      <c r="DH91" s="96"/>
      <c r="DI91" s="96">
        <f>SUM(DI11:DI90)</f>
        <v>4853750</v>
      </c>
      <c r="DJ91" s="96">
        <f>SUM(DJ11:DJ90)</f>
        <v>4853750</v>
      </c>
      <c r="DL91" s="95" t="s">
        <v>36</v>
      </c>
      <c r="DM91" s="96">
        <f>SUM(DM11:DM90)</f>
        <v>112518759.90000001</v>
      </c>
      <c r="DN91" s="96"/>
      <c r="DO91" s="96">
        <f>SUM(DO11:DO90)</f>
        <v>29385875</v>
      </c>
      <c r="DP91" s="96">
        <f>SUM(DP11:DP90)</f>
        <v>510077325.60000002</v>
      </c>
      <c r="DQ91" s="96">
        <f>SUM(DQ11:DQ90)</f>
        <v>651981960.5</v>
      </c>
      <c r="DS91" s="95" t="s">
        <v>36</v>
      </c>
      <c r="DT91" s="96">
        <f>SUM(DT11:DT90)</f>
        <v>0</v>
      </c>
      <c r="DU91" s="96"/>
      <c r="DV91" s="96">
        <f>SUM(DV11:DV90)</f>
        <v>0</v>
      </c>
      <c r="DW91" s="96">
        <f>SUM(DW11:DW90)</f>
        <v>0</v>
      </c>
      <c r="DY91" s="95" t="s">
        <v>36</v>
      </c>
      <c r="DZ91" s="96">
        <f>SUM(DZ11:DZ90)</f>
        <v>200004497.39999998</v>
      </c>
      <c r="EA91" s="96"/>
      <c r="EB91" s="96">
        <f>SUM(EB11:EB90)</f>
        <v>0</v>
      </c>
      <c r="EC91" s="96">
        <f>SUM(EC11:EC90)</f>
        <v>1200035502.5999999</v>
      </c>
      <c r="ED91" s="96">
        <f>SUM(ED11:ED90)</f>
        <v>1400040000</v>
      </c>
      <c r="EF91" s="95" t="s">
        <v>36</v>
      </c>
      <c r="EG91" s="96">
        <f>SUM(EG11:EG90)</f>
        <v>0</v>
      </c>
      <c r="EH91" s="96"/>
      <c r="EI91" s="96">
        <f>SUM(EI11:EI90)</f>
        <v>0</v>
      </c>
      <c r="EJ91" s="96">
        <f>SUM(EJ11:EJ90)</f>
        <v>0</v>
      </c>
      <c r="EL91" s="95" t="s">
        <v>36</v>
      </c>
      <c r="EM91" s="96">
        <f>SUM(EM11:EM90)</f>
        <v>85108599</v>
      </c>
      <c r="EN91" s="96"/>
      <c r="EO91" s="96">
        <f>SUM(EO11:EO90)</f>
        <v>5074325</v>
      </c>
      <c r="EP91" s="96">
        <f>SUM(EP11:EP90)</f>
        <v>3156731401.0000005</v>
      </c>
      <c r="EQ91" s="96">
        <f>SUM(EQ11:EQ90)</f>
        <v>3246914325</v>
      </c>
      <c r="ES91" s="95" t="s">
        <v>36</v>
      </c>
      <c r="ET91" s="96">
        <f>SUM(ET11:ET90)</f>
        <v>3648670.6999999997</v>
      </c>
      <c r="EU91" s="96"/>
      <c r="EV91" s="96">
        <f>SUM(EV11:EV90)</f>
        <v>963870</v>
      </c>
      <c r="EW91" s="96">
        <f>SUM(EW11:EW90)</f>
        <v>4806329.3000000007</v>
      </c>
      <c r="EX91" s="96">
        <f>SUM(EX11:EX90)</f>
        <v>9418870</v>
      </c>
      <c r="EZ91" s="95" t="s">
        <v>36</v>
      </c>
      <c r="FA91" s="96">
        <f>SUM(FA11:FA90)</f>
        <v>0</v>
      </c>
      <c r="FB91" s="96">
        <v>0</v>
      </c>
      <c r="FC91" s="96">
        <f>SUM(FC11:FC90)</f>
        <v>0</v>
      </c>
      <c r="FD91" s="96">
        <f>SUM(FD11:FD90)</f>
        <v>0</v>
      </c>
      <c r="FF91" s="95" t="s">
        <v>36</v>
      </c>
      <c r="FG91" s="96">
        <f>SUM(FG11:FG90)</f>
        <v>77335000</v>
      </c>
      <c r="FH91" s="96"/>
      <c r="FI91" s="96">
        <f>SUM(FI11:FI90)</f>
        <v>22908050</v>
      </c>
      <c r="FJ91" s="96">
        <f>SUM(FJ11:FJ90)</f>
        <v>100243050</v>
      </c>
      <c r="FL91" s="95" t="s">
        <v>36</v>
      </c>
      <c r="FM91" s="96">
        <f>SUM(FM11:FM90)</f>
        <v>8060000</v>
      </c>
      <c r="FN91" s="96"/>
      <c r="FO91" s="96">
        <f>SUM(FO11:FO90)</f>
        <v>944212.5</v>
      </c>
      <c r="FP91" s="96">
        <f>SUM(FP11:FP90)</f>
        <v>9004212.5</v>
      </c>
      <c r="FR91" s="95" t="s">
        <v>36</v>
      </c>
      <c r="FS91" s="96">
        <f>SUM(FS11:FS90)</f>
        <v>39275420.649999999</v>
      </c>
      <c r="FT91" s="96"/>
      <c r="FU91" s="96">
        <f>SUM(FU11:FU90)</f>
        <v>0</v>
      </c>
      <c r="FV91" s="96">
        <f>SUM(FV11:FV90)</f>
        <v>169544579.34999999</v>
      </c>
      <c r="FW91" s="96">
        <f>SUM(FW11:FW90)</f>
        <v>208820000</v>
      </c>
      <c r="FY91" s="95" t="s">
        <v>36</v>
      </c>
      <c r="FZ91" s="96">
        <f>SUM(FZ11:FZ90)</f>
        <v>20539987.300000001</v>
      </c>
      <c r="GA91" s="96"/>
      <c r="GB91" s="96">
        <f>SUM(GB11:GB90)</f>
        <v>0</v>
      </c>
      <c r="GC91" s="96">
        <f>SUM(GC11:GC90)</f>
        <v>176125012.69999999</v>
      </c>
      <c r="GD91" s="96">
        <f>SUM(GD11:GD90)</f>
        <v>196665000</v>
      </c>
      <c r="GF91" s="95" t="s">
        <v>36</v>
      </c>
      <c r="GG91" s="96">
        <f>SUM(GG11:GG90)</f>
        <v>0</v>
      </c>
      <c r="GH91" s="96"/>
      <c r="GI91" s="96">
        <f>SUM(GI11:GI90)</f>
        <v>0</v>
      </c>
      <c r="GJ91" s="96">
        <f>SUM(GJ11:GJ90)</f>
        <v>0</v>
      </c>
      <c r="GK91" s="96">
        <f>SUM(GK11:GK90)</f>
        <v>0</v>
      </c>
      <c r="GM91" s="95" t="s">
        <v>36</v>
      </c>
      <c r="GN91" s="96">
        <f>SUM(GN11:GN90)</f>
        <v>0</v>
      </c>
      <c r="GO91" s="96"/>
      <c r="GP91" s="96">
        <f>SUM(GP11:GP90)</f>
        <v>0</v>
      </c>
      <c r="GQ91" s="96">
        <f>SUM(GQ11:GQ90)</f>
        <v>0</v>
      </c>
      <c r="GR91" s="96">
        <f>SUM(GR11:GR90)</f>
        <v>0</v>
      </c>
    </row>
    <row r="92" spans="2:200" x14ac:dyDescent="0.25">
      <c r="X92" s="97"/>
      <c r="Y92" s="98"/>
      <c r="Z92" s="98"/>
      <c r="AA92" s="98"/>
      <c r="AB92" s="98"/>
      <c r="AC92" s="73"/>
      <c r="AF92" s="97"/>
      <c r="AG92" s="98"/>
      <c r="AH92" s="98"/>
      <c r="AI92" s="98"/>
      <c r="AJ92" s="98"/>
      <c r="AK92" s="73"/>
      <c r="AN92" s="97"/>
      <c r="AO92" s="98"/>
      <c r="AP92" s="98"/>
      <c r="AQ92" s="98"/>
      <c r="AR92" s="98"/>
      <c r="AS92" s="73"/>
      <c r="AV92" s="97"/>
      <c r="AW92" s="98"/>
      <c r="AX92" s="98"/>
      <c r="AY92" s="98"/>
      <c r="AZ92" s="98"/>
      <c r="BA92" s="73"/>
      <c r="BD92" s="97"/>
      <c r="BE92" s="98"/>
      <c r="BF92" s="98"/>
      <c r="BG92" s="98"/>
      <c r="BH92" s="98"/>
      <c r="BI92" s="98"/>
      <c r="BJ92" s="98"/>
      <c r="BN92" s="97"/>
      <c r="BO92" s="98"/>
      <c r="BP92" s="98"/>
      <c r="BQ92" s="98"/>
      <c r="BR92" s="98"/>
      <c r="BS92" s="73"/>
      <c r="BV92" s="97"/>
      <c r="BW92" s="98"/>
      <c r="BX92" s="98"/>
      <c r="BY92" s="98"/>
      <c r="BZ92" s="98"/>
      <c r="CA92" s="73"/>
      <c r="CD92" s="97"/>
      <c r="CE92" s="98"/>
      <c r="CF92" s="133"/>
      <c r="CG92" s="98"/>
      <c r="CH92" s="98"/>
      <c r="CL92" s="98"/>
      <c r="CM92" s="98"/>
      <c r="CN92" s="98"/>
      <c r="CO92" s="98"/>
      <c r="CS92" s="98"/>
      <c r="CT92" s="98"/>
      <c r="CU92" s="98"/>
      <c r="CV92" s="98"/>
      <c r="CX92" s="97"/>
      <c r="CZ92" s="98"/>
      <c r="DA92" s="98"/>
      <c r="DB92" s="98"/>
      <c r="DD92" s="97"/>
      <c r="DF92" s="98"/>
      <c r="DG92" s="98"/>
      <c r="DH92" s="98"/>
    </row>
    <row r="93" spans="2:200" x14ac:dyDescent="0.25">
      <c r="X93" s="99"/>
      <c r="Y93" s="73"/>
      <c r="Z93" s="73"/>
      <c r="AA93" s="73"/>
      <c r="AB93" s="73"/>
      <c r="AC93" s="210" t="s">
        <v>138</v>
      </c>
      <c r="AD93" s="73">
        <f>AD91-AC91</f>
        <v>1533293604.4399998</v>
      </c>
      <c r="AF93" s="99"/>
      <c r="AG93" s="73"/>
      <c r="AH93" s="73"/>
      <c r="AI93" s="73"/>
      <c r="AJ93" s="73"/>
      <c r="AK93" s="73"/>
      <c r="AN93" s="99"/>
      <c r="AO93" s="73"/>
      <c r="AP93" s="73"/>
      <c r="AQ93" s="73"/>
      <c r="AR93" s="73"/>
      <c r="AS93" s="73"/>
      <c r="AV93" s="99"/>
      <c r="AW93" s="73"/>
      <c r="AX93" s="73"/>
      <c r="AY93" s="73"/>
      <c r="AZ93" s="73"/>
      <c r="BA93" s="73"/>
      <c r="BD93" s="99"/>
      <c r="BE93" s="73"/>
      <c r="BF93" s="73"/>
      <c r="BG93" s="73"/>
      <c r="BH93" s="73"/>
      <c r="BI93" s="73"/>
      <c r="BJ93" s="73"/>
      <c r="BN93" s="99"/>
      <c r="BO93" s="73"/>
      <c r="BP93" s="73"/>
      <c r="BQ93" s="73"/>
      <c r="BR93" s="73"/>
      <c r="BS93" s="73"/>
      <c r="BV93" s="99"/>
      <c r="BW93" s="73"/>
      <c r="BX93" s="73"/>
      <c r="BY93" s="73"/>
      <c r="BZ93" s="73"/>
      <c r="CA93" s="73"/>
      <c r="CD93" s="99"/>
      <c r="CE93" s="73"/>
      <c r="CF93" s="128"/>
      <c r="CG93" s="73"/>
      <c r="CH93" s="73"/>
      <c r="CL93" s="73"/>
      <c r="CM93" s="73"/>
      <c r="CN93" s="73"/>
      <c r="CO93" s="73"/>
      <c r="CS93" s="73"/>
      <c r="CT93" s="73"/>
      <c r="CU93" s="73"/>
      <c r="CV93" s="73"/>
      <c r="CX93" s="99"/>
      <c r="CZ93" s="73"/>
      <c r="DA93" s="73"/>
      <c r="DB93" s="73"/>
      <c r="DD93" s="99"/>
      <c r="DF93" s="73"/>
      <c r="DG93" s="73"/>
      <c r="DH93" s="73"/>
    </row>
    <row r="94" spans="2:200" x14ac:dyDescent="0.25">
      <c r="M94" s="100">
        <v>12248575753.450001</v>
      </c>
      <c r="V94" s="100">
        <v>12248575753.450001</v>
      </c>
      <c r="X94" s="67"/>
      <c r="Y94" s="67"/>
      <c r="Z94" s="67"/>
      <c r="AA94" s="67"/>
      <c r="AB94" s="67"/>
      <c r="AC94" s="67"/>
      <c r="AD94" s="67"/>
      <c r="AF94" s="67"/>
      <c r="AG94" s="67"/>
      <c r="AH94" s="67"/>
      <c r="AI94" s="67"/>
      <c r="AJ94" s="67"/>
      <c r="AK94" s="67"/>
      <c r="AL94" s="67"/>
      <c r="AN94" s="67"/>
      <c r="AO94" s="67"/>
      <c r="AP94" s="67"/>
      <c r="AQ94" s="67"/>
      <c r="AR94" s="67"/>
      <c r="AS94" s="67"/>
      <c r="AT94" s="67"/>
      <c r="AV94" s="67"/>
      <c r="AW94" s="67"/>
      <c r="AX94" s="67"/>
      <c r="AY94" s="67"/>
      <c r="AZ94" s="67"/>
      <c r="BA94" s="67"/>
      <c r="BB94" s="67"/>
      <c r="BD94" s="67"/>
      <c r="BE94" s="67"/>
      <c r="BF94" s="67"/>
      <c r="BG94" s="67"/>
      <c r="BH94" s="67"/>
      <c r="BI94" s="67"/>
      <c r="BJ94" s="67"/>
      <c r="BL94" s="67"/>
      <c r="BN94" s="67"/>
      <c r="BO94" s="67"/>
      <c r="BP94" s="67"/>
      <c r="BQ94" s="67"/>
      <c r="BR94" s="67"/>
      <c r="BS94" s="67"/>
      <c r="BT94" s="67"/>
      <c r="BV94" s="67"/>
      <c r="BW94" s="67"/>
      <c r="BX94" s="67"/>
      <c r="BY94" s="67"/>
      <c r="BZ94" s="67"/>
      <c r="CA94" s="67"/>
      <c r="CB94" s="67"/>
      <c r="CD94" s="67"/>
      <c r="CE94" s="67"/>
      <c r="CF94" s="134"/>
      <c r="CG94" s="67"/>
      <c r="CH94" s="67"/>
      <c r="CI94" s="67"/>
      <c r="CL94" s="67"/>
      <c r="CM94" s="67"/>
      <c r="CN94" s="67"/>
      <c r="CO94" s="67"/>
      <c r="CP94" s="67"/>
      <c r="CS94" s="67"/>
      <c r="CT94" s="67"/>
      <c r="CU94" s="67"/>
      <c r="CV94" s="67"/>
      <c r="CX94" s="67"/>
      <c r="CZ94" s="67"/>
      <c r="DA94" s="67"/>
      <c r="DB94" s="67"/>
      <c r="DC94" s="67"/>
      <c r="DD94" s="67"/>
      <c r="DF94" s="67"/>
      <c r="DG94" s="67"/>
      <c r="DH94" s="67"/>
      <c r="DI94" s="67"/>
    </row>
    <row r="95" spans="2:200" x14ac:dyDescent="0.25">
      <c r="B95" s="99"/>
      <c r="C95" s="73"/>
      <c r="L95" s="209" t="s">
        <v>137</v>
      </c>
      <c r="M95" s="100">
        <v>-58451788.829999924</v>
      </c>
      <c r="U95" s="209" t="s">
        <v>137</v>
      </c>
      <c r="V95" s="40">
        <f>V91-V94</f>
        <v>-58451788.829999924</v>
      </c>
      <c r="X95" s="67"/>
      <c r="Y95" s="67"/>
      <c r="Z95" s="67"/>
      <c r="AA95" s="67"/>
      <c r="AB95" s="67"/>
      <c r="AC95" s="67"/>
      <c r="AD95" s="67"/>
      <c r="AF95" s="67"/>
      <c r="AG95" s="67"/>
      <c r="AH95" s="67"/>
      <c r="AI95" s="67"/>
      <c r="AJ95" s="67"/>
      <c r="AK95" s="67"/>
      <c r="AL95" s="67"/>
      <c r="AN95" s="67"/>
      <c r="AO95" s="67"/>
      <c r="AP95" s="67"/>
      <c r="AQ95" s="67"/>
      <c r="AR95" s="67"/>
      <c r="AS95" s="67"/>
      <c r="AT95" s="67"/>
      <c r="AV95" s="67"/>
      <c r="AW95" s="67"/>
      <c r="AX95" s="67"/>
      <c r="AY95" s="67"/>
      <c r="AZ95" s="67"/>
      <c r="BA95" s="67"/>
      <c r="BB95" s="67"/>
      <c r="BD95" s="67"/>
      <c r="BE95" s="67"/>
      <c r="BF95" s="67"/>
      <c r="BG95" s="67"/>
      <c r="BH95" s="67"/>
      <c r="BI95" s="67"/>
      <c r="BJ95" s="67"/>
      <c r="BL95" s="67"/>
      <c r="BN95" s="67"/>
      <c r="BO95" s="67"/>
      <c r="BP95" s="67"/>
      <c r="BQ95" s="67"/>
      <c r="BR95" s="67"/>
      <c r="BS95" s="67"/>
      <c r="BT95" s="67"/>
      <c r="BV95" s="67"/>
      <c r="BW95" s="67"/>
      <c r="BX95" s="67"/>
      <c r="BY95" s="67"/>
      <c r="BZ95" s="67"/>
      <c r="CA95" s="67"/>
      <c r="CB95" s="67"/>
      <c r="CD95" s="67"/>
      <c r="CE95" s="67"/>
      <c r="CF95" s="134"/>
      <c r="CG95" s="67"/>
      <c r="CH95" s="67"/>
      <c r="CI95" s="67"/>
      <c r="CL95" s="67"/>
      <c r="CM95" s="67"/>
      <c r="CN95" s="67"/>
      <c r="CO95" s="67"/>
      <c r="CP95" s="67"/>
      <c r="CS95" s="67"/>
      <c r="CT95" s="67"/>
      <c r="CU95" s="67"/>
      <c r="CV95" s="67"/>
      <c r="CX95" s="67"/>
      <c r="CZ95" s="67"/>
      <c r="DA95" s="67"/>
      <c r="DB95" s="67"/>
      <c r="DC95" s="67"/>
      <c r="DD95" s="67"/>
      <c r="DF95" s="67"/>
      <c r="DG95" s="67"/>
      <c r="DH95" s="67"/>
      <c r="DI95" s="67"/>
    </row>
    <row r="96" spans="2:200" x14ac:dyDescent="0.25">
      <c r="M96" s="100">
        <v>12190123964.620001</v>
      </c>
      <c r="V96" s="206">
        <f>V94+V95</f>
        <v>12190123964.620001</v>
      </c>
      <c r="X96" s="67"/>
      <c r="Y96" s="67"/>
      <c r="Z96" s="67"/>
      <c r="AA96" s="67"/>
      <c r="AB96" s="67"/>
      <c r="AC96" s="67"/>
      <c r="AD96" s="67"/>
      <c r="AF96" s="67"/>
      <c r="AG96" s="67"/>
      <c r="AH96" s="67"/>
      <c r="AI96" s="67"/>
      <c r="AJ96" s="67"/>
      <c r="AK96" s="67"/>
      <c r="AL96" s="67"/>
      <c r="AN96" s="67"/>
      <c r="AO96" s="67"/>
      <c r="AP96" s="67"/>
      <c r="AQ96" s="67"/>
      <c r="AR96" s="67"/>
      <c r="AS96" s="67"/>
      <c r="AT96" s="67"/>
      <c r="AV96" s="67"/>
      <c r="AW96" s="67"/>
      <c r="AX96" s="67"/>
      <c r="AY96" s="67"/>
      <c r="AZ96" s="67"/>
      <c r="BA96" s="67"/>
      <c r="BB96" s="67"/>
      <c r="BD96" s="67"/>
      <c r="BE96" s="67"/>
      <c r="BF96" s="67"/>
      <c r="BG96" s="67"/>
      <c r="BH96" s="67"/>
      <c r="BI96" s="67"/>
      <c r="BJ96" s="67"/>
      <c r="BL96" s="67"/>
      <c r="BN96" s="67"/>
      <c r="BO96" s="67"/>
      <c r="BP96" s="67"/>
      <c r="BQ96" s="67"/>
      <c r="BR96" s="67"/>
      <c r="BS96" s="67"/>
      <c r="BT96" s="67"/>
      <c r="BV96" s="67"/>
      <c r="BW96" s="67"/>
      <c r="BX96" s="67"/>
      <c r="BY96" s="67"/>
      <c r="BZ96" s="67"/>
      <c r="CA96" s="67"/>
      <c r="CB96" s="67"/>
      <c r="CD96" s="67"/>
      <c r="CE96" s="67"/>
      <c r="CF96" s="134"/>
      <c r="CG96" s="67"/>
      <c r="CH96" s="67"/>
      <c r="CI96" s="67"/>
      <c r="CL96" s="67"/>
      <c r="CM96" s="67"/>
      <c r="CN96" s="67"/>
      <c r="CO96" s="67"/>
      <c r="CP96" s="67"/>
      <c r="CS96" s="67"/>
      <c r="CT96" s="67"/>
      <c r="CU96" s="67"/>
      <c r="CV96" s="67"/>
      <c r="CX96" s="67"/>
      <c r="CZ96" s="67"/>
      <c r="DA96" s="67"/>
      <c r="DB96" s="67"/>
      <c r="DC96" s="67"/>
      <c r="DD96" s="67"/>
      <c r="DF96" s="67"/>
      <c r="DG96" s="67"/>
      <c r="DH96" s="67"/>
      <c r="DI96" s="67"/>
    </row>
    <row r="101" spans="3:113" x14ac:dyDescent="0.25">
      <c r="X101" s="67"/>
      <c r="Y101" s="67"/>
      <c r="Z101" s="67"/>
      <c r="AA101" s="67"/>
      <c r="AB101" s="67"/>
      <c r="AC101" s="67"/>
      <c r="AD101" s="67"/>
      <c r="AF101" s="67"/>
      <c r="AG101" s="67"/>
      <c r="AH101" s="67"/>
      <c r="AI101" s="67"/>
      <c r="AJ101" s="67"/>
      <c r="AK101" s="67"/>
      <c r="AL101" s="67"/>
      <c r="AN101" s="67"/>
      <c r="AO101" s="67"/>
      <c r="AP101" s="67"/>
      <c r="AQ101" s="67"/>
      <c r="AR101" s="67"/>
      <c r="AS101" s="67"/>
      <c r="AT101" s="67"/>
      <c r="AV101" s="67"/>
      <c r="AW101" s="67"/>
      <c r="AX101" s="67"/>
      <c r="AY101" s="67"/>
      <c r="AZ101" s="67"/>
      <c r="BA101" s="67"/>
      <c r="BB101" s="67"/>
      <c r="BD101" s="67"/>
      <c r="BE101" s="67"/>
      <c r="BF101" s="67"/>
      <c r="BG101" s="67"/>
      <c r="BH101" s="67"/>
      <c r="BI101" s="67"/>
      <c r="BJ101" s="67"/>
      <c r="BL101" s="67"/>
      <c r="BN101" s="67"/>
      <c r="BO101" s="67"/>
      <c r="BP101" s="67"/>
      <c r="BQ101" s="67"/>
      <c r="BR101" s="67"/>
      <c r="BS101" s="67"/>
      <c r="BT101" s="67"/>
      <c r="BV101" s="67"/>
      <c r="BW101" s="67"/>
      <c r="BX101" s="67"/>
      <c r="BY101" s="67"/>
      <c r="BZ101" s="67"/>
      <c r="CA101" s="67"/>
      <c r="CB101" s="67"/>
      <c r="CD101" s="67"/>
      <c r="CE101" s="67"/>
      <c r="CF101" s="134"/>
      <c r="CG101" s="67"/>
      <c r="CH101" s="67"/>
      <c r="CI101" s="67"/>
      <c r="CL101" s="67"/>
      <c r="CM101" s="67"/>
      <c r="CN101" s="67"/>
      <c r="CO101" s="67"/>
      <c r="CP101" s="67"/>
      <c r="CS101" s="67"/>
      <c r="CT101" s="67"/>
      <c r="CU101" s="67"/>
      <c r="CV101" s="67"/>
      <c r="CX101" s="67"/>
      <c r="CZ101" s="67"/>
      <c r="DA101" s="67"/>
      <c r="DB101" s="67"/>
      <c r="DC101" s="67"/>
      <c r="DD101" s="67"/>
      <c r="DF101" s="67"/>
      <c r="DG101" s="67"/>
      <c r="DH101" s="67"/>
      <c r="DI101" s="67"/>
    </row>
    <row r="102" spans="3:113" x14ac:dyDescent="0.25">
      <c r="X102" s="67"/>
      <c r="Y102" s="67"/>
      <c r="Z102" s="67"/>
      <c r="AA102" s="67"/>
      <c r="AB102" s="67"/>
      <c r="AC102" s="67"/>
      <c r="AD102" s="67"/>
      <c r="AF102" s="67"/>
      <c r="AG102" s="67"/>
      <c r="AH102" s="67"/>
      <c r="AI102" s="67"/>
      <c r="AJ102" s="67"/>
      <c r="AK102" s="67"/>
      <c r="AL102" s="67"/>
      <c r="AN102" s="67"/>
      <c r="AO102" s="67"/>
      <c r="AP102" s="67"/>
      <c r="AQ102" s="67"/>
      <c r="AR102" s="67"/>
      <c r="AS102" s="67"/>
      <c r="AT102" s="67"/>
      <c r="AV102" s="67"/>
      <c r="AW102" s="67"/>
      <c r="AX102" s="67"/>
      <c r="AY102" s="67"/>
      <c r="AZ102" s="67"/>
      <c r="BA102" s="67"/>
      <c r="BB102" s="67"/>
      <c r="BD102" s="67"/>
      <c r="BE102" s="67"/>
      <c r="BF102" s="67"/>
      <c r="BG102" s="67"/>
      <c r="BH102" s="67"/>
      <c r="BI102" s="67"/>
      <c r="BJ102" s="67"/>
      <c r="BL102" s="67"/>
      <c r="BN102" s="67"/>
      <c r="BO102" s="67"/>
      <c r="BP102" s="67"/>
      <c r="BQ102" s="67"/>
      <c r="BR102" s="67"/>
      <c r="BS102" s="67"/>
      <c r="BT102" s="67"/>
      <c r="BV102" s="67"/>
      <c r="BW102" s="67"/>
      <c r="BX102" s="67"/>
      <c r="BY102" s="67"/>
      <c r="BZ102" s="67"/>
      <c r="CA102" s="67"/>
      <c r="CB102" s="67"/>
      <c r="CD102" s="67"/>
      <c r="CE102" s="67"/>
      <c r="CF102" s="134"/>
      <c r="CG102" s="67"/>
      <c r="CH102" s="67"/>
      <c r="CI102" s="67"/>
      <c r="CL102" s="67"/>
      <c r="CM102" s="67"/>
      <c r="CN102" s="67"/>
      <c r="CO102" s="67"/>
      <c r="CP102" s="67"/>
      <c r="CS102" s="67"/>
      <c r="CT102" s="67"/>
      <c r="CU102" s="67"/>
      <c r="CV102" s="67"/>
      <c r="CX102" s="67"/>
      <c r="CZ102" s="67"/>
      <c r="DA102" s="67"/>
      <c r="DB102" s="67"/>
      <c r="DC102" s="67"/>
      <c r="DD102" s="67"/>
      <c r="DF102" s="67"/>
      <c r="DG102" s="67"/>
      <c r="DH102" s="67"/>
      <c r="DI102" s="67"/>
    </row>
    <row r="103" spans="3:113" x14ac:dyDescent="0.25">
      <c r="C103" s="100">
        <v>190646046.76999998</v>
      </c>
      <c r="X103" s="67"/>
      <c r="Y103" s="67"/>
      <c r="Z103" s="67"/>
      <c r="AA103" s="67"/>
      <c r="AB103" s="67"/>
      <c r="AC103" s="67"/>
      <c r="AD103" s="67"/>
      <c r="AF103" s="67"/>
      <c r="AG103" s="67"/>
      <c r="AH103" s="67"/>
      <c r="AI103" s="67"/>
      <c r="AJ103" s="67"/>
      <c r="AK103" s="67"/>
      <c r="AL103" s="67"/>
      <c r="AN103" s="67"/>
      <c r="AO103" s="67"/>
      <c r="AP103" s="67"/>
      <c r="AQ103" s="67"/>
      <c r="AR103" s="67"/>
      <c r="AS103" s="67"/>
      <c r="AT103" s="67"/>
      <c r="AV103" s="67"/>
      <c r="AW103" s="67"/>
      <c r="AX103" s="67"/>
      <c r="AY103" s="67"/>
      <c r="AZ103" s="67"/>
      <c r="BA103" s="67"/>
      <c r="BB103" s="67"/>
      <c r="BD103" s="67"/>
      <c r="BE103" s="67"/>
      <c r="BF103" s="67"/>
      <c r="BG103" s="67"/>
      <c r="BH103" s="67"/>
      <c r="BI103" s="67"/>
      <c r="BJ103" s="67"/>
      <c r="BL103" s="67"/>
      <c r="BN103" s="67"/>
      <c r="BO103" s="67"/>
      <c r="BP103" s="67"/>
      <c r="BQ103" s="67"/>
      <c r="BR103" s="67"/>
      <c r="BS103" s="67"/>
      <c r="BT103" s="67"/>
      <c r="BV103" s="67"/>
      <c r="BW103" s="67"/>
      <c r="BX103" s="67"/>
      <c r="BY103" s="67"/>
      <c r="BZ103" s="67"/>
      <c r="CA103" s="67"/>
      <c r="CB103" s="67"/>
      <c r="CD103" s="67"/>
      <c r="CE103" s="67"/>
      <c r="CF103" s="134"/>
      <c r="CG103" s="67"/>
      <c r="CH103" s="67"/>
      <c r="CI103" s="67"/>
      <c r="CL103" s="67"/>
      <c r="CM103" s="67"/>
      <c r="CN103" s="67"/>
      <c r="CO103" s="67"/>
      <c r="CP103" s="67"/>
      <c r="CS103" s="67"/>
      <c r="CT103" s="67"/>
      <c r="CU103" s="67"/>
      <c r="CV103" s="67"/>
      <c r="CX103" s="67"/>
      <c r="CZ103" s="67"/>
      <c r="DA103" s="67"/>
      <c r="DB103" s="67"/>
      <c r="DC103" s="67"/>
      <c r="DD103" s="67"/>
      <c r="DF103" s="67"/>
      <c r="DG103" s="67"/>
      <c r="DH103" s="67"/>
      <c r="DI103" s="67"/>
    </row>
    <row r="104" spans="3:113" x14ac:dyDescent="0.25">
      <c r="C104" s="100">
        <v>245870696.25</v>
      </c>
    </row>
    <row r="105" spans="3:113" x14ac:dyDescent="0.25">
      <c r="C105" s="100">
        <v>259948102.5</v>
      </c>
    </row>
    <row r="106" spans="3:113" x14ac:dyDescent="0.25">
      <c r="C106" s="100">
        <v>274948635</v>
      </c>
    </row>
    <row r="107" spans="3:113" x14ac:dyDescent="0.25">
      <c r="C107" s="100">
        <v>274876687.5</v>
      </c>
    </row>
    <row r="108" spans="3:113" x14ac:dyDescent="0.25">
      <c r="C108" s="100">
        <v>274869765</v>
      </c>
    </row>
    <row r="109" spans="3:113" x14ac:dyDescent="0.25">
      <c r="C109" s="100">
        <v>278948262.5</v>
      </c>
    </row>
    <row r="110" spans="3:113" x14ac:dyDescent="0.25">
      <c r="C110" s="100">
        <v>291949700</v>
      </c>
    </row>
    <row r="111" spans="3:113" x14ac:dyDescent="0.25">
      <c r="C111" s="100">
        <v>306947050</v>
      </c>
    </row>
    <row r="112" spans="3:113" x14ac:dyDescent="0.25">
      <c r="C112" s="100">
        <v>321946100</v>
      </c>
    </row>
    <row r="113" spans="3:3" x14ac:dyDescent="0.25">
      <c r="C113" s="100">
        <v>337945875</v>
      </c>
    </row>
    <row r="114" spans="3:3" x14ac:dyDescent="0.25">
      <c r="C114" s="100">
        <v>349945950</v>
      </c>
    </row>
    <row r="115" spans="3:3" x14ac:dyDescent="0.25">
      <c r="C115" s="100">
        <v>349947765</v>
      </c>
    </row>
    <row r="116" spans="3:3" x14ac:dyDescent="0.25">
      <c r="C116" s="100">
        <v>349946152.5</v>
      </c>
    </row>
    <row r="117" spans="3:3" x14ac:dyDescent="0.25">
      <c r="C117" s="100">
        <v>349946040</v>
      </c>
    </row>
    <row r="118" spans="3:3" x14ac:dyDescent="0.25">
      <c r="C118" s="100">
        <v>349946527.5</v>
      </c>
    </row>
    <row r="119" spans="3:3" x14ac:dyDescent="0.25">
      <c r="C119" s="100">
        <v>349946785</v>
      </c>
    </row>
    <row r="120" spans="3:3" x14ac:dyDescent="0.25">
      <c r="C120" s="100">
        <v>349947547.5</v>
      </c>
    </row>
    <row r="121" spans="3:3" x14ac:dyDescent="0.25">
      <c r="C121" s="100">
        <v>349948555</v>
      </c>
    </row>
    <row r="122" spans="3:3" x14ac:dyDescent="0.25">
      <c r="C122" s="100">
        <v>349949793.75</v>
      </c>
    </row>
    <row r="123" spans="3:3" x14ac:dyDescent="0.25">
      <c r="C123" s="100">
        <v>349090680</v>
      </c>
    </row>
    <row r="124" spans="3:3" x14ac:dyDescent="0.25">
      <c r="C124" s="100">
        <v>347241557.85000002</v>
      </c>
    </row>
    <row r="125" spans="3:3" x14ac:dyDescent="0.25">
      <c r="C125" s="100">
        <v>347242123.75</v>
      </c>
    </row>
    <row r="126" spans="3:3" x14ac:dyDescent="0.25">
      <c r="C126" s="100">
        <v>347240556.25</v>
      </c>
    </row>
    <row r="127" spans="3:3" x14ac:dyDescent="0.25">
      <c r="C127" s="100">
        <v>347240740</v>
      </c>
    </row>
    <row r="128" spans="3:3" x14ac:dyDescent="0.25">
      <c r="C128" s="100">
        <v>347243482.5</v>
      </c>
    </row>
    <row r="129" spans="3:3" x14ac:dyDescent="0.25">
      <c r="C129" s="100">
        <v>347240226.25</v>
      </c>
    </row>
    <row r="130" spans="3:3" x14ac:dyDescent="0.25">
      <c r="C130" s="100">
        <v>347243846.25</v>
      </c>
    </row>
    <row r="131" spans="3:3" x14ac:dyDescent="0.25">
      <c r="C131" s="100">
        <v>347243071.25</v>
      </c>
    </row>
    <row r="132" spans="3:3" x14ac:dyDescent="0.25">
      <c r="C132" s="100">
        <v>347238658.05000001</v>
      </c>
    </row>
    <row r="133" spans="3:3" x14ac:dyDescent="0.25">
      <c r="C133" s="100">
        <v>347236030.10000002</v>
      </c>
    </row>
    <row r="134" spans="3:3" x14ac:dyDescent="0.25">
      <c r="C134" s="100">
        <v>347243146.5</v>
      </c>
    </row>
    <row r="135" spans="3:3" x14ac:dyDescent="0.25">
      <c r="C135" s="100">
        <v>347240614.5</v>
      </c>
    </row>
    <row r="136" spans="3:3" x14ac:dyDescent="0.25">
      <c r="C136" s="100">
        <v>347240548.19999999</v>
      </c>
    </row>
    <row r="137" spans="3:3" x14ac:dyDescent="0.25">
      <c r="C137" s="100">
        <v>347243507.14999998</v>
      </c>
    </row>
    <row r="138" spans="3:3" x14ac:dyDescent="0.25">
      <c r="C138" s="100">
        <v>347244579.60000002</v>
      </c>
    </row>
    <row r="139" spans="3:3" x14ac:dyDescent="0.25">
      <c r="C139" s="100">
        <v>347240703.40000004</v>
      </c>
    </row>
    <row r="140" spans="3:3" x14ac:dyDescent="0.25">
      <c r="C140" s="100">
        <v>347248625</v>
      </c>
    </row>
    <row r="141" spans="3:3" x14ac:dyDescent="0.25">
      <c r="C141" s="100"/>
    </row>
  </sheetData>
  <phoneticPr fontId="0" type="noConversion"/>
  <pageMargins left="0.75" right="0.75" top="0.5" bottom="0.5" header="0.5" footer="0.5"/>
  <pageSetup scale="60" orientation="portrait" r:id="rId1"/>
  <headerFooter alignWithMargins="0"/>
  <colBreaks count="27" manualBreakCount="27">
    <brk id="4" max="1048575" man="1"/>
    <brk id="22" max="1048575" man="1"/>
    <brk id="30" max="1048575" man="1"/>
    <brk id="38" max="1048575" man="1"/>
    <brk id="46" max="1048575" man="1"/>
    <brk id="54" max="1048575" man="1"/>
    <brk id="62" max="1048575" man="1"/>
    <brk id="72" max="1048575" man="1"/>
    <brk id="80" max="1048575" man="1"/>
    <brk id="88" max="1048575" man="1"/>
    <brk id="95" max="1048575" man="1"/>
    <brk id="102" max="1048575" man="1"/>
    <brk id="108" max="1048575" man="1"/>
    <brk id="114" max="1048575" man="1"/>
    <brk id="121" max="1048575" man="1"/>
    <brk id="127" max="1048575" man="1"/>
    <brk id="134" max="1048575" man="1"/>
    <brk id="140" max="1048575" man="1"/>
    <brk id="147" max="1048575" man="1"/>
    <brk id="154" max="1048575" man="1"/>
    <brk id="160" max="1048575" man="1"/>
    <brk id="166" max="1048575" man="1"/>
    <brk id="172" max="1048575" man="1"/>
    <brk id="179" max="1048575" man="1"/>
    <brk id="186" max="1048575" man="1"/>
    <brk id="193" max="1048575" man="1"/>
    <brk id="20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C-05 2019A</vt:lpstr>
      <vt:lpstr>COI2022A</vt:lpstr>
      <vt:lpstr>2022A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FY23</vt:lpstr>
      <vt:lpstr>FY22</vt:lpstr>
      <vt:lpstr>'2022A'!Print_Area</vt:lpstr>
      <vt:lpstr>'C-31 2of3'!Print_Area</vt:lpstr>
      <vt:lpstr>'C-31 3of3'!Print_Area</vt:lpstr>
      <vt:lpstr>COI2022A!Print_Area</vt:lpstr>
      <vt:lpstr>Prior!Print_Area</vt:lpstr>
      <vt:lpstr>'Refunded Prior'!Print_Area</vt:lpstr>
      <vt:lpstr>'Series Detail'!Print_Area</vt:lpstr>
      <vt:lpstr>'Total Debt'!Print_Area</vt:lpstr>
      <vt:lpstr>'2022A'!Print_Titles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2022-05-04T16:21:27Z</cp:lastPrinted>
  <dcterms:created xsi:type="dcterms:W3CDTF">1999-09-09T17:30:14Z</dcterms:created>
  <dcterms:modified xsi:type="dcterms:W3CDTF">2022-05-10T21:36:04Z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